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jpeg" ContentType="image/jpeg"/>
  <Default Extension="wmf" ContentType="image/x-wmf"/>
  <Default Extension="rels" ContentType="application/vnd.openxmlformats-package.relationships+xml"/>
  <Default Extension="xml" ContentType="application/xml"/>
  <Default Extension="wdp" ContentType="image/vnd.ms-photo"/>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3.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drawings/drawing4.xml" ContentType="application/vnd.openxmlformats-officedocument.drawing+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drawings/drawing5.xml" ContentType="application/vnd.openxmlformats-officedocument.drawing+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drawings/drawing6.xml" ContentType="application/vnd.openxmlformats-officedocument.drawing+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drawings/drawing7.xml" ContentType="application/vnd.openxmlformats-officedocument.drawing+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drawings/drawing8.xml" ContentType="application/vnd.openxmlformats-officedocument.drawing+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drawings/drawing9.xml" ContentType="application/vnd.openxmlformats-officedocument.drawing+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omments1.xml" ContentType="application/vnd.openxmlformats-officedocument.spreadsheetml.comments+xml"/>
  <Override PartName="/xl/drawings/drawing10.xml" ContentType="application/vnd.openxmlformats-officedocument.drawing+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drawings/drawing11.xml" ContentType="application/vnd.openxmlformats-officedocument.drawing+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drawings/drawing12.xml" ContentType="application/vnd.openxmlformats-officedocument.drawing+xml"/>
  <Override PartName="/xl/ctrlProps/ctrlProp80.xml" ContentType="application/vnd.ms-excel.controlproperties+xml"/>
  <Override PartName="/xl/ctrlProps/ctrlProp81.xml" ContentType="application/vnd.ms-excel.controlproperties+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defaultThemeVersion="124226"/>
  <bookViews>
    <workbookView xWindow="0" yWindow="0" windowWidth="28800" windowHeight="12225" tabRatio="837"/>
  </bookViews>
  <sheets>
    <sheet name="Линейка Dallas Lock" sheetId="18" r:id="rId1"/>
    <sheet name="СЗИ ВИ Dallas Lock" sheetId="41" r:id="rId2"/>
    <sheet name="СДЗ Dallas Lock" sheetId="26" r:id="rId3"/>
    <sheet name="Dallas Lock Linux" sheetId="35" r:id="rId4"/>
    <sheet name="Пакетное предложение для ОС" sheetId="37" r:id="rId5"/>
    <sheet name="Dallas Lock 8.0-К" sheetId="19" r:id="rId6"/>
    <sheet name="Dallas Lock 8.0-С" sheetId="27" r:id="rId7"/>
    <sheet name="ЕЦУ Dallas Lock" sheetId="30" r:id="rId8"/>
    <sheet name="WAF Dallas Lock" sheetId="33" r:id="rId9"/>
    <sheet name="NAC Dallas Lock" sheetId="40" r:id="rId10"/>
    <sheet name="Архивные продукты" sheetId="23" r:id="rId11"/>
    <sheet name="Сервер Лицензий Dallas Lock" sheetId="24" state="hidden" r:id="rId12"/>
    <sheet name="Услуги по установке..." sheetId="25" r:id="rId13"/>
    <sheet name="Описание продуктов" sheetId="38" r:id="rId14"/>
  </sheets>
  <externalReferences>
    <externalReference r:id="rId15"/>
  </externalReferences>
  <definedNames>
    <definedName name="_xlnm.Print_Area" localSheetId="5">'Dallas Lock 8.0-К'!$A$1:$L$102</definedName>
    <definedName name="_xlnm.Print_Area" localSheetId="6">'Dallas Lock 8.0-С'!$A$1:$M$98</definedName>
    <definedName name="_xlnm.Print_Area" localSheetId="3">'Dallas Lock Linux'!$A$1:$M$64</definedName>
    <definedName name="_xlnm.Print_Area" localSheetId="9">'NAC Dallas Lock'!$A$1:$M$86</definedName>
    <definedName name="_xlnm.Print_Area" localSheetId="8">'WAF Dallas Lock'!$A$1:$G$107</definedName>
    <definedName name="_xlnm.Print_Area" localSheetId="10">'Архивные продукты'!$A$1:$L$143</definedName>
    <definedName name="_xlnm.Print_Area" localSheetId="7">'ЕЦУ Dallas Lock'!$A$1:$M$77</definedName>
    <definedName name="_xlnm.Print_Area" localSheetId="0">'Линейка Dallas Lock'!$A$1:$J$66</definedName>
    <definedName name="_xlnm.Print_Area" localSheetId="13">'Описание продуктов'!$A$1:$Q$122</definedName>
    <definedName name="_xlnm.Print_Area" localSheetId="4">'Пакетное предложение для ОС'!$A$1:$M$78</definedName>
    <definedName name="_xlnm.Print_Area" localSheetId="2">'СДЗ Dallas Lock'!$A$1:$M$88</definedName>
    <definedName name="_xlnm.Print_Area" localSheetId="1">'СЗИ ВИ Dallas Lock'!$A$1:$M$67</definedName>
    <definedName name="_xlnm.Print_Area" localSheetId="12">'Услуги по установке...'!$A$1:$M$52</definedName>
    <definedName name="Товар">[1]items!$A$2:$A$29</definedName>
  </definedNames>
  <calcPr calcId="152511"/>
  <extLs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11" i="35" l="1"/>
  <c r="F11" i="35"/>
  <c r="G11" i="35"/>
  <c r="H11" i="35"/>
  <c r="I11" i="35"/>
  <c r="J11" i="35"/>
  <c r="K11" i="35"/>
  <c r="B25" i="37"/>
  <c r="B19" i="37"/>
  <c r="B24" i="37"/>
  <c r="B23" i="37"/>
  <c r="B14" i="37"/>
  <c r="B13" i="37"/>
  <c r="B12" i="37"/>
  <c r="P14" i="40" l="1"/>
  <c r="J18" i="40" s="1"/>
  <c r="P6" i="24"/>
  <c r="J124" i="23"/>
  <c r="H124" i="23"/>
  <c r="G124" i="23"/>
  <c r="F124" i="23"/>
  <c r="K122" i="23"/>
  <c r="J122" i="23"/>
  <c r="H122" i="23"/>
  <c r="G122" i="23"/>
  <c r="F122" i="23"/>
  <c r="P121" i="23"/>
  <c r="D122" i="23" s="1"/>
  <c r="B117" i="23"/>
  <c r="P115" i="23"/>
  <c r="P67" i="23"/>
  <c r="P7" i="23"/>
  <c r="B18" i="40"/>
  <c r="B17" i="40"/>
  <c r="B16" i="40"/>
  <c r="B15" i="40"/>
  <c r="B11" i="40"/>
  <c r="B10" i="40"/>
  <c r="B9" i="40"/>
  <c r="B8" i="40"/>
  <c r="R7" i="40"/>
  <c r="K11" i="40" s="1"/>
  <c r="P7" i="40"/>
  <c r="L10" i="40" s="1"/>
  <c r="I26" i="33"/>
  <c r="O24" i="33"/>
  <c r="N24" i="33"/>
  <c r="L24" i="33"/>
  <c r="O21" i="33"/>
  <c r="N21" i="33"/>
  <c r="L21" i="33"/>
  <c r="O20" i="33"/>
  <c r="N20" i="33"/>
  <c r="L20" i="33"/>
  <c r="P19" i="33"/>
  <c r="N19" i="33" s="1"/>
  <c r="L19" i="33"/>
  <c r="L18" i="33"/>
  <c r="K16" i="33"/>
  <c r="I16" i="33"/>
  <c r="K15" i="33"/>
  <c r="I15" i="33"/>
  <c r="C15" i="33"/>
  <c r="B15" i="33"/>
  <c r="O13" i="33"/>
  <c r="N13" i="33"/>
  <c r="L13" i="33"/>
  <c r="O10" i="33"/>
  <c r="N10" i="33"/>
  <c r="L10" i="33"/>
  <c r="O9" i="33"/>
  <c r="N9" i="33"/>
  <c r="L9" i="33"/>
  <c r="P8" i="33"/>
  <c r="N8" i="33"/>
  <c r="J7" i="33"/>
  <c r="D12" i="33" s="1"/>
  <c r="K5" i="33"/>
  <c r="I5" i="33"/>
  <c r="N4" i="33"/>
  <c r="K4" i="33"/>
  <c r="I4" i="33"/>
  <c r="B19" i="30"/>
  <c r="P18" i="30"/>
  <c r="B15" i="30"/>
  <c r="B14" i="30"/>
  <c r="B13" i="30"/>
  <c r="B12" i="30"/>
  <c r="B11" i="30"/>
  <c r="B10" i="30"/>
  <c r="B9" i="30"/>
  <c r="B8" i="30"/>
  <c r="P7" i="30"/>
  <c r="B28" i="27"/>
  <c r="P23" i="27"/>
  <c r="B16" i="27"/>
  <c r="V12" i="27"/>
  <c r="T12" i="27"/>
  <c r="P12" i="27"/>
  <c r="B12" i="27"/>
  <c r="V11" i="27"/>
  <c r="T11" i="27"/>
  <c r="P11" i="27"/>
  <c r="B11" i="27"/>
  <c r="V10" i="27"/>
  <c r="T10" i="27"/>
  <c r="P10" i="27"/>
  <c r="B10" i="27"/>
  <c r="V9" i="27"/>
  <c r="T9" i="27"/>
  <c r="P9" i="27"/>
  <c r="B9" i="27"/>
  <c r="B8" i="27"/>
  <c r="P7" i="27"/>
  <c r="B28" i="19"/>
  <c r="P23" i="19"/>
  <c r="B15" i="19"/>
  <c r="V12" i="19"/>
  <c r="T12" i="19"/>
  <c r="P12" i="19"/>
  <c r="B12" i="19"/>
  <c r="V11" i="19"/>
  <c r="T11" i="19"/>
  <c r="P11" i="19"/>
  <c r="B11" i="19"/>
  <c r="V10" i="19"/>
  <c r="T10" i="19"/>
  <c r="P10" i="19"/>
  <c r="B10" i="19"/>
  <c r="V9" i="19"/>
  <c r="T9" i="19"/>
  <c r="P9" i="19"/>
  <c r="B9" i="19"/>
  <c r="B8" i="19"/>
  <c r="P7" i="19"/>
  <c r="B34" i="37"/>
  <c r="P33" i="37"/>
  <c r="Q32" i="37"/>
  <c r="O32" i="37"/>
  <c r="S25" i="37"/>
  <c r="P25" i="37"/>
  <c r="S24" i="37"/>
  <c r="R24" i="37"/>
  <c r="Q24" i="37"/>
  <c r="P24" i="37"/>
  <c r="S23" i="37"/>
  <c r="R23" i="37"/>
  <c r="Q23" i="37"/>
  <c r="P23" i="37"/>
  <c r="P22" i="37"/>
  <c r="R21" i="37"/>
  <c r="Q21" i="37"/>
  <c r="O21" i="37"/>
  <c r="P18" i="37"/>
  <c r="I19" i="37" s="1"/>
  <c r="R17" i="37"/>
  <c r="Q17" i="37"/>
  <c r="O17" i="37"/>
  <c r="C19" i="37" s="1"/>
  <c r="P14" i="37"/>
  <c r="S14" i="37" s="1"/>
  <c r="R13" i="37"/>
  <c r="Q13" i="37"/>
  <c r="P13" i="37"/>
  <c r="S13" i="37" s="1"/>
  <c r="R12" i="37"/>
  <c r="Q12" i="37"/>
  <c r="P12" i="37"/>
  <c r="S12" i="37" s="1"/>
  <c r="P11" i="37"/>
  <c r="R10" i="37"/>
  <c r="Q10" i="37"/>
  <c r="O10" i="37"/>
  <c r="B8" i="37"/>
  <c r="P7" i="37"/>
  <c r="Q6" i="37"/>
  <c r="O6" i="37"/>
  <c r="C8" i="37" s="1"/>
  <c r="B23" i="35"/>
  <c r="P22" i="35"/>
  <c r="R14" i="35"/>
  <c r="Q14" i="35"/>
  <c r="P14" i="35"/>
  <c r="S14" i="35" s="1"/>
  <c r="B14" i="35"/>
  <c r="R13" i="35"/>
  <c r="Q13" i="35"/>
  <c r="P13" i="35"/>
  <c r="S13" i="35" s="1"/>
  <c r="B13" i="35"/>
  <c r="B12" i="35"/>
  <c r="R10" i="35"/>
  <c r="Q10" i="35"/>
  <c r="P10" i="35"/>
  <c r="T10" i="35" s="1"/>
  <c r="B10" i="35"/>
  <c r="R9" i="35"/>
  <c r="Q9" i="35"/>
  <c r="P9" i="35"/>
  <c r="T9" i="35" s="1"/>
  <c r="B9" i="35"/>
  <c r="B8" i="35"/>
  <c r="P7" i="35"/>
  <c r="B29" i="26"/>
  <c r="P28" i="26"/>
  <c r="Q27" i="26"/>
  <c r="O27" i="26"/>
  <c r="C29" i="26" s="1"/>
  <c r="B24" i="26"/>
  <c r="P23" i="26"/>
  <c r="Q22" i="26"/>
  <c r="O22" i="26"/>
  <c r="R12" i="26"/>
  <c r="Q12" i="26"/>
  <c r="P12" i="26"/>
  <c r="R7" i="26"/>
  <c r="Q7" i="26"/>
  <c r="P7" i="26"/>
  <c r="P6" i="26"/>
  <c r="Q5" i="26"/>
  <c r="O5" i="26"/>
  <c r="O4" i="26"/>
  <c r="B12" i="41"/>
  <c r="S10" i="41"/>
  <c r="R10" i="41"/>
  <c r="P10" i="41"/>
  <c r="R8" i="41"/>
  <c r="P7" i="41"/>
  <c r="Q5" i="41"/>
  <c r="O5" i="41"/>
  <c r="J15" i="19" l="1"/>
  <c r="K9" i="19"/>
  <c r="J18" i="33"/>
  <c r="I122" i="23"/>
  <c r="I124" i="23"/>
  <c r="K124" i="23"/>
  <c r="D124" i="23"/>
  <c r="B22" i="33"/>
  <c r="E122" i="23"/>
  <c r="E124" i="23"/>
  <c r="B12" i="33"/>
  <c r="C12" i="33"/>
  <c r="F12" i="33"/>
  <c r="N11" i="33"/>
  <c r="C11" i="33" s="1"/>
  <c r="C13" i="33"/>
  <c r="N14" i="33"/>
  <c r="C14" i="33" s="1"/>
  <c r="F10" i="33"/>
  <c r="E10" i="33"/>
  <c r="E12" i="33"/>
  <c r="B14" i="33"/>
  <c r="B13" i="33"/>
  <c r="B11" i="33"/>
  <c r="D13" i="33"/>
  <c r="D15" i="33"/>
  <c r="B10" i="33"/>
  <c r="E13" i="33"/>
  <c r="E15" i="33"/>
  <c r="C10" i="33"/>
  <c r="F13" i="33"/>
  <c r="F15" i="33"/>
  <c r="D10" i="33"/>
  <c r="J16" i="27"/>
  <c r="F16" i="27"/>
  <c r="I16" i="27"/>
  <c r="H16" i="27"/>
  <c r="G16" i="27"/>
  <c r="C34" i="37"/>
  <c r="J19" i="37"/>
  <c r="K19" i="37"/>
  <c r="F19" i="37"/>
  <c r="G19" i="37"/>
  <c r="H19" i="37"/>
  <c r="Q15" i="35"/>
  <c r="B15" i="35" s="1"/>
  <c r="R15" i="35"/>
  <c r="S15" i="35" s="1"/>
  <c r="C15" i="35" s="1"/>
  <c r="Q11" i="35"/>
  <c r="B11" i="35" s="1"/>
  <c r="R11" i="35"/>
  <c r="S11" i="35" s="1"/>
  <c r="C11" i="35" s="1"/>
  <c r="C15" i="26"/>
  <c r="E15" i="26"/>
  <c r="B15" i="26"/>
  <c r="F15" i="26"/>
  <c r="G15" i="26"/>
  <c r="H15" i="26"/>
  <c r="J14" i="26"/>
  <c r="I15" i="26"/>
  <c r="J15" i="26"/>
  <c r="D15" i="26"/>
  <c r="C11" i="41"/>
  <c r="B11" i="41"/>
  <c r="V13" i="19"/>
  <c r="C13" i="19" s="1"/>
  <c r="N22" i="33"/>
  <c r="C22" i="33" s="1"/>
  <c r="N25" i="33"/>
  <c r="C25" i="33" s="1"/>
  <c r="B25" i="33"/>
  <c r="I10" i="27"/>
  <c r="D16" i="27"/>
  <c r="E16" i="27"/>
  <c r="T13" i="19"/>
  <c r="B13" i="19" s="1"/>
  <c r="G12" i="19"/>
  <c r="I12" i="19"/>
  <c r="H12" i="19"/>
  <c r="E12" i="19"/>
  <c r="D15" i="19"/>
  <c r="E15" i="19"/>
  <c r="F15" i="19"/>
  <c r="J12" i="19"/>
  <c r="K12" i="19"/>
  <c r="G15" i="19"/>
  <c r="D12" i="19"/>
  <c r="H15" i="19"/>
  <c r="I15" i="19"/>
  <c r="F12" i="19"/>
  <c r="H9" i="27"/>
  <c r="D10" i="27"/>
  <c r="F9" i="27"/>
  <c r="J10" i="27"/>
  <c r="G9" i="27"/>
  <c r="K10" i="27"/>
  <c r="I9" i="27"/>
  <c r="E10" i="27"/>
  <c r="J9" i="27"/>
  <c r="G10" i="27"/>
  <c r="F10" i="27"/>
  <c r="K9" i="27"/>
  <c r="D9" i="27"/>
  <c r="H10" i="27"/>
  <c r="E9" i="27"/>
  <c r="V13" i="27"/>
  <c r="C13" i="27" s="1"/>
  <c r="T13" i="27"/>
  <c r="B13" i="27" s="1"/>
  <c r="F26" i="37"/>
  <c r="K10" i="24"/>
  <c r="K13" i="24"/>
  <c r="J13" i="24"/>
  <c r="K12" i="24"/>
  <c r="J12" i="24"/>
  <c r="K11" i="24"/>
  <c r="K9" i="24"/>
  <c r="J11" i="24"/>
  <c r="J9" i="24"/>
  <c r="J10" i="24"/>
  <c r="J8" i="24"/>
  <c r="K8" i="24"/>
  <c r="H117" i="23"/>
  <c r="G117" i="23"/>
  <c r="F117" i="23"/>
  <c r="E117" i="23"/>
  <c r="D117" i="23"/>
  <c r="J117" i="23"/>
  <c r="I117" i="23"/>
  <c r="I70" i="23"/>
  <c r="I72" i="23"/>
  <c r="K70" i="23"/>
  <c r="I71" i="23"/>
  <c r="K74" i="23"/>
  <c r="K71" i="23"/>
  <c r="I74" i="23"/>
  <c r="K73" i="23"/>
  <c r="I73" i="23"/>
  <c r="K72" i="23"/>
  <c r="I69" i="23"/>
  <c r="K69" i="23"/>
  <c r="D8" i="23"/>
  <c r="E9" i="23"/>
  <c r="D9" i="23"/>
  <c r="L8" i="23"/>
  <c r="K8" i="23"/>
  <c r="H8" i="23"/>
  <c r="G8" i="23"/>
  <c r="F8" i="23"/>
  <c r="E8" i="23"/>
  <c r="I8" i="23"/>
  <c r="J8" i="23"/>
  <c r="L9" i="23"/>
  <c r="K9" i="23"/>
  <c r="J9" i="23"/>
  <c r="I9" i="23"/>
  <c r="H9" i="23"/>
  <c r="G9" i="23"/>
  <c r="F9" i="23"/>
  <c r="F25" i="33"/>
  <c r="E25" i="33"/>
  <c r="D25" i="33"/>
  <c r="D19" i="33"/>
  <c r="F19" i="33"/>
  <c r="E20" i="33"/>
  <c r="D22" i="33"/>
  <c r="E19" i="33"/>
  <c r="D20" i="33"/>
  <c r="F20" i="33"/>
  <c r="D21" i="33"/>
  <c r="E21" i="33"/>
  <c r="F21" i="33"/>
  <c r="F22" i="33"/>
  <c r="D23" i="33"/>
  <c r="E23" i="33"/>
  <c r="F23" i="33"/>
  <c r="D24" i="33"/>
  <c r="E24" i="33"/>
  <c r="F24" i="33"/>
  <c r="D26" i="33"/>
  <c r="E26" i="33"/>
  <c r="F26" i="33"/>
  <c r="C26" i="33"/>
  <c r="C24" i="33"/>
  <c r="C20" i="33"/>
  <c r="C23" i="33"/>
  <c r="C19" i="33"/>
  <c r="C21" i="33"/>
  <c r="B19" i="33"/>
  <c r="B26" i="33"/>
  <c r="B24" i="33"/>
  <c r="B23" i="33"/>
  <c r="B20" i="33"/>
  <c r="B21" i="33"/>
  <c r="E14" i="33"/>
  <c r="D14" i="33"/>
  <c r="F14" i="33"/>
  <c r="D11" i="33"/>
  <c r="E11" i="33"/>
  <c r="F11" i="33"/>
  <c r="E9" i="33"/>
  <c r="M17" i="33" s="1"/>
  <c r="D9" i="33"/>
  <c r="F8" i="33"/>
  <c r="E8" i="33"/>
  <c r="D8" i="33"/>
  <c r="F9" i="33"/>
  <c r="N17" i="33" s="1"/>
  <c r="C9" i="33"/>
  <c r="C8" i="33"/>
  <c r="B9" i="33"/>
  <c r="B8" i="33"/>
  <c r="J19" i="30"/>
  <c r="I19" i="30"/>
  <c r="H19" i="30"/>
  <c r="G19" i="30"/>
  <c r="F19" i="30"/>
  <c r="E19" i="30"/>
  <c r="D19" i="30"/>
  <c r="E9" i="30"/>
  <c r="D9" i="30"/>
  <c r="F14" i="30"/>
  <c r="F10" i="30"/>
  <c r="G10" i="30"/>
  <c r="H10" i="30"/>
  <c r="I10" i="30"/>
  <c r="J10" i="30"/>
  <c r="K10" i="30"/>
  <c r="L10" i="30"/>
  <c r="D11" i="30"/>
  <c r="E11" i="30"/>
  <c r="F11" i="30"/>
  <c r="G11" i="30"/>
  <c r="H11" i="30"/>
  <c r="I11" i="30"/>
  <c r="J11" i="30"/>
  <c r="K11" i="30"/>
  <c r="L11" i="30"/>
  <c r="D12" i="30"/>
  <c r="E12" i="30"/>
  <c r="F12" i="30"/>
  <c r="K8" i="30"/>
  <c r="G12" i="30"/>
  <c r="F9" i="30"/>
  <c r="L8" i="30"/>
  <c r="H12" i="30"/>
  <c r="J8" i="30"/>
  <c r="I8" i="30"/>
  <c r="H8" i="30"/>
  <c r="G8" i="30"/>
  <c r="F8" i="30"/>
  <c r="E8" i="30"/>
  <c r="D8" i="30"/>
  <c r="I12" i="30"/>
  <c r="J12" i="30"/>
  <c r="K12" i="30"/>
  <c r="L12" i="30"/>
  <c r="D13" i="30"/>
  <c r="E13" i="30"/>
  <c r="G13" i="30"/>
  <c r="H13" i="30"/>
  <c r="I13" i="30"/>
  <c r="J13" i="30"/>
  <c r="K13" i="30"/>
  <c r="L13" i="30"/>
  <c r="D14" i="30"/>
  <c r="E14" i="30"/>
  <c r="G14" i="30"/>
  <c r="H14" i="30"/>
  <c r="I14" i="30"/>
  <c r="J14" i="30"/>
  <c r="K14" i="30"/>
  <c r="L14" i="30"/>
  <c r="E10" i="30"/>
  <c r="D10" i="30"/>
  <c r="L9" i="30"/>
  <c r="K9" i="30"/>
  <c r="J9" i="30"/>
  <c r="I9" i="30"/>
  <c r="H9" i="30"/>
  <c r="G9" i="30"/>
  <c r="F13" i="30"/>
  <c r="L28" i="27"/>
  <c r="I28" i="27"/>
  <c r="H28" i="27"/>
  <c r="D28" i="27"/>
  <c r="F28" i="27"/>
  <c r="E28" i="27"/>
  <c r="G28" i="27"/>
  <c r="K28" i="27"/>
  <c r="J28" i="27"/>
  <c r="J12" i="27"/>
  <c r="I12" i="27"/>
  <c r="H12" i="27"/>
  <c r="G12" i="27"/>
  <c r="F12" i="27"/>
  <c r="E12" i="27"/>
  <c r="D12" i="27"/>
  <c r="K11" i="27"/>
  <c r="J11" i="27"/>
  <c r="I11" i="27"/>
  <c r="K12" i="27"/>
  <c r="G11" i="27"/>
  <c r="F11" i="27"/>
  <c r="E11" i="27"/>
  <c r="D11" i="27"/>
  <c r="E8" i="27"/>
  <c r="H11" i="27"/>
  <c r="K8" i="27"/>
  <c r="J8" i="27"/>
  <c r="I8" i="27"/>
  <c r="H8" i="27"/>
  <c r="G8" i="27"/>
  <c r="F8" i="27"/>
  <c r="D8" i="27"/>
  <c r="L28" i="19"/>
  <c r="E28" i="19"/>
  <c r="K28" i="19"/>
  <c r="I28" i="19"/>
  <c r="H28" i="19"/>
  <c r="G28" i="19"/>
  <c r="F28" i="19"/>
  <c r="J28" i="19"/>
  <c r="D28" i="19"/>
  <c r="D11" i="19"/>
  <c r="G10" i="19"/>
  <c r="F10" i="19"/>
  <c r="E10" i="19"/>
  <c r="D10" i="19"/>
  <c r="J9" i="19"/>
  <c r="I9" i="19"/>
  <c r="H9" i="19"/>
  <c r="J11" i="19"/>
  <c r="G9" i="19"/>
  <c r="F9" i="19"/>
  <c r="E9" i="19"/>
  <c r="D9" i="19"/>
  <c r="K8" i="19"/>
  <c r="J8" i="19"/>
  <c r="I11" i="19"/>
  <c r="H11" i="19"/>
  <c r="F11" i="19"/>
  <c r="I8" i="19"/>
  <c r="H8" i="19"/>
  <c r="G8" i="19"/>
  <c r="F8" i="19"/>
  <c r="E8" i="19"/>
  <c r="D8" i="19"/>
  <c r="E11" i="19"/>
  <c r="G11" i="19"/>
  <c r="K11" i="19"/>
  <c r="K10" i="19"/>
  <c r="J10" i="19"/>
  <c r="H10" i="19"/>
  <c r="I10" i="19"/>
  <c r="G34" i="37"/>
  <c r="F34" i="37"/>
  <c r="E34" i="37"/>
  <c r="D34" i="37"/>
  <c r="H34" i="37"/>
  <c r="L34" i="37"/>
  <c r="K34" i="37"/>
  <c r="J34" i="37"/>
  <c r="I34" i="37"/>
  <c r="E25" i="37"/>
  <c r="K24" i="37"/>
  <c r="F24" i="37"/>
  <c r="G23" i="37"/>
  <c r="D25" i="37"/>
  <c r="J24" i="37"/>
  <c r="H24" i="37"/>
  <c r="G24" i="37"/>
  <c r="E24" i="37"/>
  <c r="I24" i="37"/>
  <c r="D24" i="37"/>
  <c r="K23" i="37"/>
  <c r="J23" i="37"/>
  <c r="I23" i="37"/>
  <c r="H23" i="37"/>
  <c r="F23" i="37"/>
  <c r="E23" i="37"/>
  <c r="D23" i="37"/>
  <c r="K25" i="37"/>
  <c r="J25" i="37"/>
  <c r="I25" i="37"/>
  <c r="H25" i="37"/>
  <c r="G25" i="37"/>
  <c r="F25" i="37"/>
  <c r="C25" i="37"/>
  <c r="C24" i="37"/>
  <c r="D19" i="37"/>
  <c r="E19" i="37"/>
  <c r="K12" i="37"/>
  <c r="I12" i="37"/>
  <c r="F13" i="37"/>
  <c r="G13" i="37"/>
  <c r="H13" i="37"/>
  <c r="F14" i="37"/>
  <c r="E14" i="37"/>
  <c r="D14" i="37"/>
  <c r="K13" i="37"/>
  <c r="J13" i="37"/>
  <c r="I13" i="37"/>
  <c r="D13" i="37"/>
  <c r="E13" i="37"/>
  <c r="I14" i="37"/>
  <c r="J14" i="37"/>
  <c r="J15" i="37" s="1"/>
  <c r="K14" i="37"/>
  <c r="K15" i="37" s="1"/>
  <c r="H14" i="37"/>
  <c r="G14" i="37"/>
  <c r="J12" i="37"/>
  <c r="H12" i="37"/>
  <c r="G12" i="37"/>
  <c r="F12" i="37"/>
  <c r="E12" i="37"/>
  <c r="E15" i="37" s="1"/>
  <c r="D12" i="37"/>
  <c r="D15" i="37" s="1"/>
  <c r="C13" i="37"/>
  <c r="C14" i="37"/>
  <c r="C12" i="37"/>
  <c r="D8" i="37"/>
  <c r="E8" i="37"/>
  <c r="F8" i="37"/>
  <c r="G8" i="37"/>
  <c r="I8" i="37"/>
  <c r="J8" i="37"/>
  <c r="K8" i="37"/>
  <c r="H8" i="37"/>
  <c r="D23" i="35"/>
  <c r="E23" i="35"/>
  <c r="F23" i="35"/>
  <c r="G23" i="35"/>
  <c r="H23" i="35"/>
  <c r="I23" i="35"/>
  <c r="J23" i="35"/>
  <c r="K23" i="35"/>
  <c r="L23" i="35"/>
  <c r="F8" i="35"/>
  <c r="E8" i="35"/>
  <c r="D8" i="35"/>
  <c r="D11" i="35" s="1"/>
  <c r="H9" i="35"/>
  <c r="G9" i="35"/>
  <c r="F9" i="35"/>
  <c r="E9" i="35"/>
  <c r="D9" i="35"/>
  <c r="K14" i="35"/>
  <c r="K12" i="35"/>
  <c r="K15" i="35" s="1"/>
  <c r="I14" i="35"/>
  <c r="H14" i="35"/>
  <c r="G14" i="35"/>
  <c r="F14" i="35"/>
  <c r="E14" i="35"/>
  <c r="D14" i="35"/>
  <c r="K13" i="35"/>
  <c r="J13" i="35"/>
  <c r="I13" i="35"/>
  <c r="H13" i="35"/>
  <c r="G13" i="35"/>
  <c r="F13" i="35"/>
  <c r="E13" i="35"/>
  <c r="D13" i="35"/>
  <c r="J12" i="35"/>
  <c r="J15" i="35" s="1"/>
  <c r="I12" i="35"/>
  <c r="I15" i="35" s="1"/>
  <c r="H12" i="35"/>
  <c r="H15" i="35" s="1"/>
  <c r="G12" i="35"/>
  <c r="G15" i="35" s="1"/>
  <c r="F12" i="35"/>
  <c r="F15" i="35" s="1"/>
  <c r="E12" i="35"/>
  <c r="E15" i="35" s="1"/>
  <c r="D12" i="35"/>
  <c r="D15" i="35" s="1"/>
  <c r="K10" i="35"/>
  <c r="J10" i="35"/>
  <c r="I10" i="35"/>
  <c r="J8" i="35"/>
  <c r="H10" i="35"/>
  <c r="G10" i="35"/>
  <c r="F10" i="35"/>
  <c r="E10" i="35"/>
  <c r="D10" i="35"/>
  <c r="K9" i="35"/>
  <c r="J9" i="35"/>
  <c r="I9" i="35"/>
  <c r="K8" i="35"/>
  <c r="J14" i="35"/>
  <c r="I8" i="35"/>
  <c r="H8" i="35"/>
  <c r="G8" i="35"/>
  <c r="E29" i="26"/>
  <c r="G29" i="26"/>
  <c r="I29" i="26"/>
  <c r="L29" i="26"/>
  <c r="K29" i="26"/>
  <c r="J29" i="26"/>
  <c r="H29" i="26"/>
  <c r="F29" i="26"/>
  <c r="D29" i="26"/>
  <c r="D24" i="26"/>
  <c r="F24" i="26"/>
  <c r="E24" i="26"/>
  <c r="G24" i="26"/>
  <c r="I24" i="26"/>
  <c r="J24" i="26"/>
  <c r="H24" i="26"/>
  <c r="C25" i="26"/>
  <c r="C24" i="26"/>
  <c r="C14" i="26"/>
  <c r="C13" i="26"/>
  <c r="B13" i="26"/>
  <c r="B14" i="26"/>
  <c r="C11" i="26"/>
  <c r="C10" i="26"/>
  <c r="C9" i="26"/>
  <c r="C8" i="26"/>
  <c r="B11" i="26"/>
  <c r="B10" i="26"/>
  <c r="B9" i="26"/>
  <c r="B8" i="26"/>
  <c r="H10" i="26"/>
  <c r="G10" i="26"/>
  <c r="F10" i="26"/>
  <c r="E10" i="26"/>
  <c r="D10" i="26"/>
  <c r="G14" i="26"/>
  <c r="F14" i="26"/>
  <c r="J9" i="26"/>
  <c r="I9" i="26"/>
  <c r="H9" i="26"/>
  <c r="G9" i="26"/>
  <c r="F9" i="26"/>
  <c r="E9" i="26"/>
  <c r="D9" i="26"/>
  <c r="E14" i="26"/>
  <c r="D14" i="26"/>
  <c r="J8" i="26"/>
  <c r="I8" i="26"/>
  <c r="H8" i="26"/>
  <c r="G8" i="26"/>
  <c r="F8" i="26"/>
  <c r="E8" i="26"/>
  <c r="D8" i="26"/>
  <c r="J13" i="26"/>
  <c r="I13" i="26"/>
  <c r="D13" i="26"/>
  <c r="H13" i="26"/>
  <c r="G13" i="26"/>
  <c r="F13" i="26"/>
  <c r="E13" i="26"/>
  <c r="J11" i="26"/>
  <c r="I11" i="26"/>
  <c r="H11" i="26"/>
  <c r="G11" i="26"/>
  <c r="F11" i="26"/>
  <c r="E11" i="26"/>
  <c r="D11" i="26"/>
  <c r="I14" i="26"/>
  <c r="H14" i="26"/>
  <c r="J10" i="26"/>
  <c r="I10" i="26"/>
  <c r="B10" i="41"/>
  <c r="B9" i="41"/>
  <c r="D12" i="41"/>
  <c r="J10" i="41"/>
  <c r="I10" i="41"/>
  <c r="H10" i="41"/>
  <c r="G10" i="41"/>
  <c r="F10" i="41"/>
  <c r="E10" i="41"/>
  <c r="D10" i="41"/>
  <c r="J9" i="41"/>
  <c r="I9" i="41"/>
  <c r="H9" i="41"/>
  <c r="G9" i="41"/>
  <c r="J12" i="41"/>
  <c r="E9" i="41"/>
  <c r="D9" i="41"/>
  <c r="I12" i="41"/>
  <c r="H12" i="41"/>
  <c r="G12" i="41"/>
  <c r="F9" i="41"/>
  <c r="F12" i="41"/>
  <c r="E12" i="41"/>
  <c r="C10" i="41"/>
  <c r="C9" i="41"/>
  <c r="E22" i="33"/>
  <c r="Q25" i="37"/>
  <c r="Q26" i="37" s="1"/>
  <c r="B26" i="37" s="1"/>
  <c r="R25" i="37"/>
  <c r="E26" i="37"/>
  <c r="Q14" i="37"/>
  <c r="Q15" i="37" s="1"/>
  <c r="B15" i="37" s="1"/>
  <c r="R14" i="37"/>
  <c r="H15" i="37"/>
  <c r="E11" i="40"/>
  <c r="I11" i="40"/>
  <c r="F8" i="40"/>
  <c r="J9" i="40"/>
  <c r="K10" i="40"/>
  <c r="K9" i="40"/>
  <c r="G9" i="40"/>
  <c r="D8" i="40"/>
  <c r="I9" i="40"/>
  <c r="J10" i="40"/>
  <c r="D11" i="40"/>
  <c r="H11" i="40"/>
  <c r="F15" i="40"/>
  <c r="I16" i="40"/>
  <c r="G18" i="40"/>
  <c r="K18" i="40"/>
  <c r="J16" i="40"/>
  <c r="J17" i="40"/>
  <c r="D18" i="40"/>
  <c r="H18" i="40"/>
  <c r="E8" i="40"/>
  <c r="H9" i="40"/>
  <c r="L9" i="40"/>
  <c r="F11" i="40"/>
  <c r="J11" i="40"/>
  <c r="D15" i="40"/>
  <c r="G16" i="40"/>
  <c r="K16" i="40"/>
  <c r="K17" i="40"/>
  <c r="E18" i="40"/>
  <c r="I18" i="40"/>
  <c r="G11" i="40"/>
  <c r="E15" i="40"/>
  <c r="H16" i="40"/>
  <c r="L16" i="40"/>
  <c r="L17" i="40"/>
  <c r="F18" i="40"/>
  <c r="J11" i="41" l="1"/>
  <c r="F15" i="37"/>
  <c r="I15" i="37"/>
  <c r="G15" i="37"/>
  <c r="H26" i="37"/>
  <c r="E13" i="27"/>
  <c r="D26" i="37"/>
  <c r="R26" i="37"/>
  <c r="S26" i="37" s="1"/>
  <c r="C26" i="37" s="1"/>
  <c r="G26" i="37"/>
  <c r="I26" i="37"/>
  <c r="R15" i="37"/>
  <c r="S15" i="37" s="1"/>
  <c r="C15" i="37" s="1"/>
  <c r="I11" i="41"/>
  <c r="F11" i="41"/>
  <c r="D11" i="41"/>
  <c r="E11" i="41"/>
  <c r="G11" i="41"/>
  <c r="H11" i="41"/>
  <c r="G13" i="27"/>
  <c r="F13" i="19"/>
  <c r="E13" i="19"/>
  <c r="J13" i="19"/>
  <c r="K13" i="19"/>
  <c r="G13" i="19"/>
  <c r="D13" i="19"/>
  <c r="H13" i="19"/>
  <c r="I13" i="19"/>
  <c r="I13" i="27"/>
  <c r="F13" i="27"/>
  <c r="J13" i="27"/>
  <c r="K13" i="27"/>
  <c r="D13" i="27"/>
  <c r="H13" i="27"/>
  <c r="K26" i="37"/>
  <c r="J26" i="37"/>
</calcChain>
</file>

<file path=xl/comments1.xml><?xml version="1.0" encoding="utf-8"?>
<comments xmlns="http://schemas.openxmlformats.org/spreadsheetml/2006/main">
  <authors>
    <author>Автор</author>
  </authors>
  <commentList>
    <comment ref="I7" authorId="0" shapeId="0">
      <text>
        <r>
          <rPr>
            <b/>
            <sz val="9"/>
            <color indexed="81"/>
            <rFont val="Tahoma"/>
            <family val="2"/>
            <charset val="204"/>
          </rPr>
          <t>Автор:</t>
        </r>
        <r>
          <rPr>
            <sz val="9"/>
            <color indexed="81"/>
            <rFont val="Tahoma"/>
            <family val="2"/>
            <charset val="204"/>
          </rPr>
          <t xml:space="preserve">
3-х летняя лицензия</t>
        </r>
      </text>
    </comment>
    <comment ref="K7" authorId="0" shapeId="0">
      <text>
        <r>
          <rPr>
            <b/>
            <sz val="9"/>
            <color indexed="81"/>
            <rFont val="Tahoma"/>
            <family val="2"/>
            <charset val="204"/>
          </rPr>
          <t>Автор:</t>
        </r>
        <r>
          <rPr>
            <sz val="9"/>
            <color indexed="81"/>
            <rFont val="Tahoma"/>
            <family val="2"/>
            <charset val="204"/>
          </rPr>
          <t xml:space="preserve">
Техподдежка 24/7</t>
        </r>
      </text>
    </comment>
    <comment ref="L7" authorId="0" shapeId="0">
      <text>
        <r>
          <rPr>
            <b/>
            <sz val="9"/>
            <color indexed="81"/>
            <rFont val="Tahoma"/>
            <family val="2"/>
            <charset val="204"/>
          </rPr>
          <t>Автор:</t>
        </r>
        <r>
          <rPr>
            <sz val="9"/>
            <color indexed="81"/>
            <rFont val="Tahoma"/>
            <family val="2"/>
            <charset val="204"/>
          </rPr>
          <t xml:space="preserve">
З-хлетняя лицензия</t>
        </r>
      </text>
    </comment>
    <comment ref="L8" authorId="0" shapeId="0">
      <text>
        <r>
          <rPr>
            <b/>
            <sz val="9"/>
            <color indexed="81"/>
            <rFont val="Tahoma"/>
            <family val="2"/>
            <charset val="204"/>
          </rPr>
          <t>Автор:</t>
        </r>
        <r>
          <rPr>
            <sz val="9"/>
            <color indexed="81"/>
            <rFont val="Tahoma"/>
            <family val="2"/>
            <charset val="204"/>
          </rPr>
          <t xml:space="preserve">
Поддержка 24/7</t>
        </r>
      </text>
    </comment>
  </commentList>
</comments>
</file>

<file path=xl/sharedStrings.xml><?xml version="1.0" encoding="utf-8"?>
<sst xmlns="http://schemas.openxmlformats.org/spreadsheetml/2006/main" count="675" uniqueCount="273">
  <si>
    <t>Наименование</t>
  </si>
  <si>
    <t>до 10</t>
  </si>
  <si>
    <t>call</t>
  </si>
  <si>
    <t>Артикул*</t>
  </si>
  <si>
    <t>DLVI.CERT.y</t>
  </si>
  <si>
    <t>DL80K.CERT.y</t>
  </si>
  <si>
    <t>DL80C.CERT.y</t>
  </si>
  <si>
    <r>
      <t>Цена, руб.</t>
    </r>
    <r>
      <rPr>
        <sz val="9"/>
        <rFont val="Arial"/>
        <family val="2"/>
        <charset val="204"/>
      </rPr>
      <t xml:space="preserve"> (на 1 рабочую станцию/сервер)</t>
    </r>
  </si>
  <si>
    <t>DLLNX.CERT.FSTEC</t>
  </si>
  <si>
    <t>LPP.TBC</t>
  </si>
  <si>
    <t>OP-SW.TBC</t>
  </si>
  <si>
    <r>
      <t xml:space="preserve">Сервер лицензий для Dallas Lock 8.0.
</t>
    </r>
    <r>
      <rPr>
        <sz val="8"/>
        <rFont val="Arial"/>
        <family val="2"/>
        <charset val="204"/>
      </rPr>
      <t>Право на использование* для управления Dallas Lock 8.0 (1 терминальный сервер, без возможности управ-
ления Серверами безопасности). Бессрочная лицензия.</t>
    </r>
  </si>
  <si>
    <r>
      <t xml:space="preserve">Сервер лицензий для Dallas Lock 8.0.
</t>
    </r>
    <r>
      <rPr>
        <sz val="8"/>
        <rFont val="Arial"/>
        <family val="2"/>
        <charset val="204"/>
      </rPr>
      <t>Право на использование* для управления Dallas Lock 8.0 (5 терминальных серверов, без возможности управ-
ления Серверами безопасности). Бессрочная лицензия.</t>
    </r>
  </si>
  <si>
    <r>
      <t xml:space="preserve">Сервер лицензий для Dallas Lock 8.0.
</t>
    </r>
    <r>
      <rPr>
        <sz val="8"/>
        <rFont val="Arial"/>
        <family val="2"/>
        <charset val="204"/>
      </rPr>
      <t>Право на использование* для управления Dallas Lock 8.0 (1 Сервер безопасности, без возможности управле-
ния терминальными серверами). Бессрочная лицензия.</t>
    </r>
  </si>
  <si>
    <r>
      <t xml:space="preserve">Сервер лицензий для Dallas Lock 8.0.
</t>
    </r>
    <r>
      <rPr>
        <sz val="8"/>
        <rFont val="Arial"/>
        <family val="2"/>
        <charset val="204"/>
      </rPr>
      <t>Право на использование* для управления Dallas Lock 8.0 (5 Серверов безопасности, 5 терминальных серве-
ров). Бессрочная лицензия.</t>
    </r>
  </si>
  <si>
    <r>
      <t xml:space="preserve">Сервер лицензий для Dallas Lock 8.0.
</t>
    </r>
    <r>
      <rPr>
        <sz val="8"/>
        <rFont val="Arial"/>
        <family val="2"/>
        <charset val="204"/>
      </rPr>
      <t>Право на использование* для управления Dallas Lock 8.0 без ограничений по количеству Серверов безопас-
ности и по количеству терминальных серверов). Бессрочная лицензия.</t>
    </r>
  </si>
  <si>
    <t>INST-DLVI.x</t>
  </si>
  <si>
    <r>
      <rPr>
        <b/>
        <sz val="8"/>
        <rFont val="Arial"/>
        <family val="2"/>
        <charset val="204"/>
      </rPr>
      <t xml:space="preserve">Dallas Lock СЗИ ВИ.
</t>
    </r>
    <r>
      <rPr>
        <sz val="8"/>
        <rFont val="Arial"/>
        <family val="2"/>
        <charset val="204"/>
      </rPr>
      <t>Установка и настройка</t>
    </r>
  </si>
  <si>
    <t>INST-DLTBC.C.x</t>
  </si>
  <si>
    <t>INST-DL8.S.MS.x</t>
  </si>
  <si>
    <r>
      <rPr>
        <b/>
        <sz val="8"/>
        <rFont val="Arial"/>
        <family val="2"/>
        <charset val="204"/>
      </rPr>
      <t xml:space="preserve">Менеджер серверов безопасности Dallas
Lock. </t>
    </r>
    <r>
      <rPr>
        <sz val="8"/>
        <rFont val="Arial"/>
        <family val="2"/>
        <charset val="204"/>
      </rPr>
      <t>Установка и настройка</t>
    </r>
  </si>
  <si>
    <t>INST-DL8.S.LS.x</t>
  </si>
  <si>
    <r>
      <rPr>
        <b/>
        <sz val="8"/>
        <rFont val="Arial"/>
        <family val="2"/>
        <charset val="204"/>
      </rPr>
      <t xml:space="preserve">Сервер лицензий Dallas Lock.
</t>
    </r>
    <r>
      <rPr>
        <sz val="8"/>
        <rFont val="Arial"/>
        <family val="2"/>
        <charset val="204"/>
      </rPr>
      <t>Установка и настройка</t>
    </r>
  </si>
  <si>
    <t>DALLAS LOCK 8.0-K</t>
  </si>
  <si>
    <t>БЕССРОЧНЫЕ ЛИЦЕНЗИИ</t>
  </si>
  <si>
    <t>5000+</t>
  </si>
  <si>
    <t>1000..4999</t>
  </si>
  <si>
    <t>10..24</t>
  </si>
  <si>
    <t>25..49</t>
  </si>
  <si>
    <t>50..99</t>
  </si>
  <si>
    <t>100..249</t>
  </si>
  <si>
    <t>250..499</t>
  </si>
  <si>
    <t>500..999</t>
  </si>
  <si>
    <t>ПРИМЕЧАНИЯ</t>
  </si>
  <si>
    <t>учесть в стоимости лицензий гарантийное сопровождение (основной пакет) на 3 года</t>
  </si>
  <si>
    <t>DALLAS LOCK LINUX</t>
  </si>
  <si>
    <t>СДЗ DALLAS LOCK</t>
  </si>
  <si>
    <r>
      <t>Цена, руб.</t>
    </r>
    <r>
      <rPr>
        <sz val="9"/>
        <rFont val="Arial"/>
        <family val="2"/>
        <charset val="204"/>
      </rPr>
      <t xml:space="preserve"> (на 1 рабочую станцию/сервер) **</t>
    </r>
  </si>
  <si>
    <t>DALLAS LOCK 8.0-С</t>
  </si>
  <si>
    <t>Dallas Lock 8.0-С.
Сертифицированный комплект для установки***.</t>
  </si>
  <si>
    <t>Dallas Lock 8.0-К.
Сертифицированный комплект для установки***.</t>
  </si>
  <si>
    <t>УСЛУГИ ПО УСТАНОВKЕ И БАЗОВОЙ НАСТРОЙKЕ СЗИ DALLAS LOCK</t>
  </si>
  <si>
    <t xml:space="preserve">СЗИ ВИ DALLAS LOCK </t>
  </si>
  <si>
    <r>
      <t>Цена, руб.</t>
    </r>
    <r>
      <rPr>
        <sz val="9"/>
        <rFont val="Arial"/>
        <family val="2"/>
        <charset val="204"/>
      </rPr>
      <t xml:space="preserve"> (лицензируется по количеству АРМ, подключенных к одному Серверу безопасности)</t>
    </r>
  </si>
  <si>
    <t>Сервер безопасности для Dallas Lock 8.0-С.
Право на использование**.
Бессрочная лицензия.</t>
  </si>
  <si>
    <t>Сервер безопасности для Dallas Lock 8.0-К.
Право на использование**.
Бессрочная лицензия.</t>
  </si>
  <si>
    <t>DL80C.S.x.z</t>
  </si>
  <si>
    <t>DL80K.S.x.z</t>
  </si>
  <si>
    <t>• Менеджер серверов безопасности Dallas Lock позволяет централизованно управлять несколькими Серверами безопасности.</t>
  </si>
  <si>
    <t>• Стоимость лицензии на Менеджер серверов безопасности Dallas Lock входит в стоимость лицензии на Сервер безопасности.</t>
  </si>
  <si>
    <t>• Стоимость лицензии на Сервер конфигураций Dallas Lock входит в стоимость лицензии на Сервер безопасности Dallas Lock.</t>
  </si>
  <si>
    <t>• Сервер конфигураций Dallas Lock позволяет создавать и визировать паспорта программного обеспечения. Клиентскими подключениями для Сервера конфигураций Dallas Lock</t>
  </si>
  <si>
    <t>являются модули паспортизации (МП) программного обеспечения в составе Dallas Lock 8.0 редакций «К» и «С», которые лицензируются отдельно.</t>
  </si>
  <si>
    <t>СЕРВЕР ЛИЦЕНЗИЙ DALLAS LOCK</t>
  </si>
  <si>
    <r>
      <t xml:space="preserve">Цена, руб. </t>
    </r>
    <r>
      <rPr>
        <sz val="10"/>
        <rFont val="Arial"/>
        <family val="2"/>
        <charset val="204"/>
      </rPr>
      <t>(лицензируется по количеству СЗИ, подключенных к
одному Серверу безопасности)</t>
    </r>
  </si>
  <si>
    <t>DL80K.S.LS.0-1.z
DL80C.S.LS.0-1.z</t>
  </si>
  <si>
    <t>DL80K.S.LS.0-5.z
DL80C.S.LS.0-5.z</t>
  </si>
  <si>
    <t>DL80K.S.LS.1-0.z
DL80C.S.LS.1-0.z</t>
  </si>
  <si>
    <t>DL80K.S.LS.5-5.z
DL80C.S.LS.5-5.z</t>
  </si>
  <si>
    <t>DL80K.S.LS.50-50.z
DL80C.S.LS.50-50.z</t>
  </si>
  <si>
    <t>DL80K.S.LS.UNLIM.z
DL80C.S.LS.UNLIM.z</t>
  </si>
  <si>
    <r>
      <t xml:space="preserve">Сервер лицензий для Dallas Lock 8.0.
</t>
    </r>
    <r>
      <rPr>
        <sz val="8"/>
        <rFont val="Arial"/>
        <family val="2"/>
        <charset val="204"/>
      </rPr>
      <t>Право на использование* для управления Dallas Lock 8.0 (50 Серверов безопасности, 50 терминальных сер-
веров). Бессрочная лицензия.</t>
    </r>
  </si>
  <si>
    <t>описание продукта</t>
  </si>
  <si>
    <t>цены</t>
  </si>
  <si>
    <r>
      <rPr>
        <sz val="9"/>
        <color theme="1"/>
        <rFont val="Arial"/>
        <family val="2"/>
        <charset val="204"/>
      </rPr>
      <t xml:space="preserve">Редакция </t>
    </r>
    <r>
      <rPr>
        <b/>
        <sz val="9"/>
        <color theme="1"/>
        <rFont val="Arial"/>
        <family val="2"/>
        <charset val="204"/>
      </rPr>
      <t>"K"</t>
    </r>
  </si>
  <si>
    <r>
      <rPr>
        <sz val="9"/>
        <color theme="1"/>
        <rFont val="Arial"/>
        <family val="2"/>
        <charset val="204"/>
      </rPr>
      <t xml:space="preserve">Редакция </t>
    </r>
    <r>
      <rPr>
        <b/>
        <sz val="9"/>
        <color theme="1"/>
        <rFont val="Arial"/>
        <family val="2"/>
        <charset val="204"/>
      </rPr>
      <t>"C"</t>
    </r>
  </si>
  <si>
    <t>FW-</t>
  </si>
  <si>
    <t>IPS-</t>
  </si>
  <si>
    <t>BR-</t>
  </si>
  <si>
    <t xml:space="preserve">МЭ, </t>
  </si>
  <si>
    <t xml:space="preserve">СОВ, </t>
  </si>
  <si>
    <t xml:space="preserve">РК, </t>
  </si>
  <si>
    <t xml:space="preserve">СКН2, </t>
  </si>
  <si>
    <t>24x7</t>
  </si>
  <si>
    <r>
      <rPr>
        <b/>
        <sz val="9"/>
        <rFont val="Arial"/>
        <family val="2"/>
        <charset val="204"/>
      </rPr>
      <t>Цена, руб.</t>
    </r>
    <r>
      <rPr>
        <sz val="9"/>
        <rFont val="Arial"/>
        <family val="2"/>
        <charset val="204"/>
      </rPr>
      <t xml:space="preserve"> (на 1 рабочую станцию/сервер)</t>
    </r>
  </si>
  <si>
    <t>ЕДИНЫЙ ЦЕНТР УПРАВЛЕНИЯ DALLAS LOCK</t>
  </si>
  <si>
    <r>
      <t>Цена, руб.</t>
    </r>
    <r>
      <rPr>
        <sz val="9"/>
        <rFont val="Arial"/>
        <family val="2"/>
        <charset val="204"/>
      </rPr>
      <t xml:space="preserve"> (лицензируется по количеству АРМ, подключенных к одному ЕЦУ)</t>
    </r>
  </si>
  <si>
    <t>Терминальное подключение для Dallas Lock 8.0-К.
Право на использование**. Бессрочная лицензия.</t>
  </si>
  <si>
    <t>Dallas Lock 8.0-К. Модуль «Межсетевой экран».
Право на использование** (МЭ). Бессрочная лицензия.</t>
  </si>
  <si>
    <t>Dallas Lock 8.0-К. Модуль «СКН уровня отчуждения (переноса) информации». Право на использование** (СКН2). Бессрочная лицензия.</t>
  </si>
  <si>
    <t>Терминальное подключение для Dallas Lock 8.0-C.
Право на использование**. Бессрочная лицензия.</t>
  </si>
  <si>
    <t>Dallas Lock 8.0-К. Модуль «Резервное копирование и восстановление». Право на использование** (РК). Бессрочная лицензия.</t>
  </si>
  <si>
    <t>Единый центр управления Dallas Lock. Максимальное количество сетевых устройств для мониторинга: 3. Право на использование**. Бессрочная лицензия.</t>
  </si>
  <si>
    <t>Единый центр управления Dallas Lock. Максимальное количество сетевых устройств для мониторинга: 10. Право на использование**. Бессрочная лицензия.</t>
  </si>
  <si>
    <t>Единый центр управления Dallas Lock. Максимальное количество сетевых устройств для мониторинга: 25. Право на использование**. Бессрочная лицензия.</t>
  </si>
  <si>
    <t>Единый центр управления Dallas Lock. Максимальное количество сетевых устройств для мониторинга: 50. Право на использование**. Бессрочная лицензия.</t>
  </si>
  <si>
    <t>Единый центр управления Dallas Lock. Максимальное количество сетевых устройств для мониторинга: 100. Право на использование**. Бессрочная лицензия.</t>
  </si>
  <si>
    <t>Единый центр управления Dallas Lock. Максимальное количество сетевых устройств для мониторинга: 500. Право на использование**. Бессрочная лицензия.</t>
  </si>
  <si>
    <t>Единый центр управления Dallas Lock. Максимальное количество сетевых устройств для мониторинга: 1000. Право на использование**. Бессрочная лицензия.</t>
  </si>
  <si>
    <t>Единый центр управления Dallas Lock. Максимальное количество сетевых устройств для мониторинга: неограниченно. Право на использование**. Бессрочная лицензия.</t>
  </si>
  <si>
    <t>INST-DL8K.C.UADS.x</t>
  </si>
  <si>
    <t>INST-DL8C.C.UADS.x</t>
  </si>
  <si>
    <t>INST-DL8K.C.UADS-FW.x</t>
  </si>
  <si>
    <t>INST-DL8C.C.UADS-FW.x</t>
  </si>
  <si>
    <r>
      <rPr>
        <b/>
        <sz val="8"/>
        <rFont val="Arial"/>
        <family val="2"/>
        <charset val="204"/>
      </rPr>
      <t xml:space="preserve">Dallas Lock 8.0-K (СЗИ НСД, СКН, МЭ, СОВ):
клиентская часть. </t>
    </r>
    <r>
      <rPr>
        <sz val="8"/>
        <rFont val="Arial"/>
        <family val="2"/>
        <charset val="204"/>
      </rPr>
      <t>Установка и настройка</t>
    </r>
  </si>
  <si>
    <r>
      <rPr>
        <b/>
        <sz val="8"/>
        <rFont val="Arial"/>
        <family val="2"/>
        <charset val="204"/>
      </rPr>
      <t xml:space="preserve">Dallas Lock 8.0-C (СЗИ НСД, СКН, МЭ, СОВ):
клиентская часть. </t>
    </r>
    <r>
      <rPr>
        <sz val="8"/>
        <rFont val="Arial"/>
        <family val="2"/>
        <charset val="204"/>
      </rPr>
      <t>Установка и настройка</t>
    </r>
  </si>
  <si>
    <t>INST-DLMC.S.x</t>
  </si>
  <si>
    <r>
      <rPr>
        <b/>
        <sz val="8"/>
        <rFont val="Arial"/>
        <family val="2"/>
        <charset val="204"/>
      </rPr>
      <t xml:space="preserve">Единый центр управления Dallas Lock.
</t>
    </r>
    <r>
      <rPr>
        <sz val="8"/>
        <rFont val="Arial"/>
        <family val="2"/>
        <charset val="204"/>
      </rPr>
      <t>Установка и настройка, 3 сетевых устройства</t>
    </r>
  </si>
  <si>
    <t>DLTBB.CERT.Y</t>
  </si>
  <si>
    <t>БЕССРОЧНЫЕ ЛИЦЕНЗИИ НА СЗИ ВИ</t>
  </si>
  <si>
    <t>Цена, руб. (на 1 физический процессор)</t>
  </si>
  <si>
    <t>БЕССРОЧНЫЕ ЛИЦЕНЗИИ НА ЦЕНТР УПРАВЛЕНИЯ - подробнее на вкладке ЕЦУ</t>
  </si>
  <si>
    <t>СДЗ УБ (УРОВНЯ BIOS) - программный модуль доверенной загрузки</t>
  </si>
  <si>
    <t>МЕНЕДЖЕР СЕРВЕРОВ БЕЗОПАСНОСТИ DALLAS LOCK (в новые проекты не поставляется)</t>
  </si>
  <si>
    <t>СЕРВЕР КОНФИГУРАЦИЙ DALLAS LOCK (в новые проекты не поставляется)</t>
  </si>
  <si>
    <t>СЕРВЕР БЕЗОПАСНОСТИ DALLAS LOCK (в новые проекты не поставляется)</t>
  </si>
  <si>
    <t>СЕРВЕР ЛИЦЕНЗИЙ DALLAS LOCK (в новые проекты не поставляется)</t>
  </si>
  <si>
    <t>1000</t>
  </si>
  <si>
    <t>3000</t>
  </si>
  <si>
    <t>DLW.CERT.FSTEC</t>
  </si>
  <si>
    <t>без ограничений</t>
  </si>
  <si>
    <t xml:space="preserve">       24x7</t>
  </si>
  <si>
    <t>Срочная лицензия на 3 года с гарантийным сопровождением</t>
  </si>
  <si>
    <t>Пропускная способность изделия, rps.**</t>
  </si>
  <si>
    <t>** Пропускная способность зависит от инфраструктуры заказчика.</t>
  </si>
  <si>
    <t>*** На основании статьи № 149 п. 2 пп. 26 НК РФ стоимость передаваемых неисключительных прав на используемое программное обеспечение не облагается НДС.</t>
  </si>
  <si>
    <t>СРОЧНЫЕ ЛИЦЕНЗИИ</t>
  </si>
  <si>
    <t>Единый центр управления Dallas Lock. Максимальное количество сетевых устройств для мониторинга: 3. Право на использование***. Бессрочная лицензия.</t>
  </si>
  <si>
    <t>учесть в стоимости гарантийное сопровождение (основной пакет) на 3 года</t>
  </si>
  <si>
    <t>Dallas Lock Linux. Модуль «Система обнаружения вторжений».
Право на использование****. Универсальная бессрочная лицензия.</t>
  </si>
  <si>
    <t>DLW.S.UTM.x.</t>
  </si>
  <si>
    <t>DLW.S.WAF-UTM.CLP.x.</t>
  </si>
  <si>
    <t>Dallas Lock Linux. Модуль «Межсетевой экран».
Право на использование*** (МЭ). Бессрочная лицензия.</t>
  </si>
  <si>
    <r>
      <rPr>
        <b/>
        <sz val="8"/>
        <rFont val="Arial"/>
        <family val="2"/>
        <charset val="204"/>
      </rPr>
      <t>Dallas Lock Linux.</t>
    </r>
    <r>
      <rPr>
        <sz val="8"/>
        <rFont val="Arial"/>
        <family val="2"/>
        <charset val="204"/>
      </rPr>
      <t xml:space="preserve">
Право на использование*** (СЗИ НСД, СКН).
Бессрочная лицензия.</t>
    </r>
  </si>
  <si>
    <r>
      <rPr>
        <b/>
        <sz val="8"/>
        <rFont val="Arial"/>
        <family val="2"/>
        <charset val="204"/>
      </rPr>
      <t>Dallas Lock Linux.</t>
    </r>
    <r>
      <rPr>
        <sz val="8"/>
        <rFont val="Arial"/>
        <family val="2"/>
        <charset val="204"/>
      </rPr>
      <t xml:space="preserve">
Сертифицированный комплект для установки****.</t>
    </r>
  </si>
  <si>
    <t xml:space="preserve">Dallas Lock Linux/Dallas Lock 8.0-K. (СЗИ НСД, СКН). 
Право на использование*** (универсальная бессрочная лицензия) 
</t>
  </si>
  <si>
    <t xml:space="preserve">        СДЗ DALLAS LOCK</t>
  </si>
  <si>
    <t xml:space="preserve">      ШЛЮЗ БЕЗОПАСНОСТИ WAF DALLAS LOCK</t>
  </si>
  <si>
    <t xml:space="preserve">      DALLAS LOCK 8.0-С</t>
  </si>
  <si>
    <t xml:space="preserve">      DALLAS LOCK 8.0-K</t>
  </si>
  <si>
    <t xml:space="preserve">        СЗИ ВИ DALLAS LOCK</t>
  </si>
  <si>
    <t xml:space="preserve">        DALLAS LOCK LINUX</t>
  </si>
  <si>
    <t xml:space="preserve">      ЕДИНЫЙ ЦЕНТР УПРАВЛЕНИЯ DALLAS LOCK</t>
  </si>
  <si>
    <t>СЗИ ВИ Dallas Lock.
Сертифицированный комплект для установки***.</t>
  </si>
  <si>
    <r>
      <t>СЗИ ВИ Dallas Lock. Универсальная лицензия для ESXi,</t>
    </r>
    <r>
      <rPr>
        <b/>
        <sz val="8"/>
        <rFont val="Arial"/>
        <family val="2"/>
        <charset val="204"/>
      </rPr>
      <t xml:space="preserve"> Hyper-V</t>
    </r>
    <r>
      <rPr>
        <sz val="8"/>
        <rFont val="Arial"/>
        <family val="2"/>
        <charset val="204"/>
      </rPr>
      <t xml:space="preserve"> и KVM серверов (гипервизоров). Право на использование**. Бессрочная лицензия.</t>
    </r>
  </si>
  <si>
    <t>ПРОЧЕЕ</t>
  </si>
  <si>
    <t>RUTKN.F.x.12M</t>
  </si>
  <si>
    <t>Подробнее на сайте &gt;&gt;</t>
  </si>
  <si>
    <t>Dallas Lock Linux.
Сертифицированный комплект для установки***.</t>
  </si>
  <si>
    <t>ITC2-</t>
  </si>
  <si>
    <t>ПАКЕТНОЕ ПРЕДЛОЖЕНИЕ ДЛЯ ОПЕРАЦИОННЫХ СИСТЕМ (БЕССРОЧНЫЕ ЛИЦЕНЗИИ)</t>
  </si>
  <si>
    <t>Dallas Lock 8.0-К.
Сертифицированный комплект для установки****.</t>
  </si>
  <si>
    <t>Dallas Lock 8.0-С.
Сертифицированный комплект для установки*****.</t>
  </si>
  <si>
    <t>Рутокен ЭЦП 2.0 Серт. ФСТЭК ****.</t>
  </si>
  <si>
    <t>Рутокен ЭЦП 2.0 Серт. ФСТЭК *****.</t>
  </si>
  <si>
    <t>+</t>
  </si>
  <si>
    <t>INST-WAF.C.x</t>
  </si>
  <si>
    <r>
      <rPr>
        <b/>
        <sz val="8"/>
        <rFont val="Arial"/>
        <family val="2"/>
        <charset val="204"/>
      </rPr>
      <t>Dallas Lock Linux</t>
    </r>
    <r>
      <rPr>
        <sz val="8"/>
        <rFont val="Arial"/>
        <family val="2"/>
        <charset val="204"/>
      </rPr>
      <t xml:space="preserve">
Сертифицированный комплект для установки****.</t>
    </r>
  </si>
  <si>
    <t>СЕРТИФИЦИРОВАННЫЕ КОМПЛЕКТЫ. ДОСТУПНА ЭЛЕКТРОННАЯ ДИСТРИБУЦИЯ</t>
  </si>
  <si>
    <t>NAC DALLAS LOCK</t>
  </si>
  <si>
    <t>Право на использование*** Шлюза безопасности WAF Dallas Lock.</t>
  </si>
  <si>
    <t>DLW.S.WAF</t>
  </si>
  <si>
    <t>DLW.S.WAF-UTM</t>
  </si>
  <si>
    <t xml:space="preserve"> Резервный узел для построения отказоустойчивого кластера.</t>
  </si>
  <si>
    <t>DLW.S.WAF-UTM.CLP</t>
  </si>
  <si>
    <t xml:space="preserve"> </t>
  </si>
  <si>
    <t>DLW.S.UTM</t>
  </si>
  <si>
    <t>DLW.S.WAF.CLA</t>
  </si>
  <si>
    <t>DLW.S.WAF.CLP.x.</t>
  </si>
  <si>
    <t>учесть в стоимости  гарантийное сопровождение на 3 года</t>
  </si>
  <si>
    <t xml:space="preserve">*****В стоимость входит НДС 22%. </t>
  </si>
  <si>
    <r>
      <rPr>
        <b/>
        <sz val="8"/>
        <rFont val="Arial"/>
        <family val="2"/>
        <charset val="204"/>
      </rPr>
      <t>Шлюз безопасности WAF Dallas Lock.</t>
    </r>
    <r>
      <rPr>
        <sz val="8"/>
        <rFont val="Arial"/>
        <family val="2"/>
        <charset val="204"/>
      </rPr>
      <t xml:space="preserve">
Сертифицированный комплект для установки.*****</t>
    </r>
  </si>
  <si>
    <t xml:space="preserve"> Расширенная комплектация с МЭ/СОВ****.</t>
  </si>
  <si>
    <t>60% от стоимости срочной лицензии</t>
  </si>
  <si>
    <t>40% от стоимости бессрочной лицензии</t>
  </si>
  <si>
    <t>INST-DL8K.C.UADS-FW-IPS.x</t>
  </si>
  <si>
    <t>INST-DL8C.C.UADS-FW-IPS.x</t>
  </si>
  <si>
    <t>INST-DLLNX.C.UADS.x</t>
  </si>
  <si>
    <t>UPGRD-*</t>
  </si>
  <si>
    <t>UPD-*</t>
  </si>
  <si>
    <r>
      <t xml:space="preserve">* «x» – пропускная способность изделия; «y» – срок действия срочной лицензии: 1Y – 12 месяцев, </t>
    </r>
    <r>
      <rPr>
        <b/>
        <sz val="11"/>
        <color rgb="FF000000"/>
        <rFont val="Calibri"/>
        <family val="2"/>
        <charset val="204"/>
        <scheme val="minor"/>
      </rPr>
      <t>3Y</t>
    </r>
    <r>
      <rPr>
        <sz val="11"/>
        <color rgb="FF000000"/>
        <rFont val="Calibri"/>
        <family val="2"/>
        <charset val="204"/>
        <scheme val="minor"/>
      </rPr>
      <t xml:space="preserve"> – 36 месяцев, гарантийное сопровождение 24/7.</t>
    </r>
  </si>
  <si>
    <t xml:space="preserve">**** Покупка по указанной стоимости позиции «Шлюз безопасности WAF Dallas Lock. Ограниченная комплектация только МЭ/СОВ» возможна только при условии приобретения в комплекте </t>
  </si>
  <si>
    <t xml:space="preserve">          c позицией «Шлюз безопасности WAF Dallas Lock» срочной лиценции и бессрочной лицензии.</t>
  </si>
  <si>
    <t xml:space="preserve">Dallas Lock Linux/Dallas Lock 8.0-K.Модуль «Межсетевой экран». 
Право на использование*** (универсальная бессрочная лицензия) 
</t>
  </si>
  <si>
    <t xml:space="preserve">Dallas Lock Linux/Dallas Lock 8.0-K.Модуль «Система обнаружения вторжений». Расширен дополнительным функционалом: модулем                                                «Система обнаружения и реагирования».
Право на использование*** (универсальная бессрочная лицензия) </t>
  </si>
  <si>
    <t>Dallas Lock Linux. Модуль «Система обнаружения вторжений».
Расширен дополнительным функционалом: модулем                                                «Система обнаружения и реагирования».
Право на использование*** (СОВ**). Бессрочная лицензия.</t>
  </si>
  <si>
    <t>Dallas Lock 8.0-К. Модуль «Система обнаружения и предотвращения вторжений». Включает модуль «Безопасная среда» («песочница»). Расширен дополнительным функционалом: модулем «Система обнаружения и реагирования». Право на использование** (СОВ***). Бессрочная лицензия.</t>
  </si>
  <si>
    <r>
      <rPr>
        <b/>
        <sz val="8"/>
        <rFont val="Arial"/>
        <family val="2"/>
        <charset val="204"/>
      </rPr>
      <t xml:space="preserve">Dallas Lock 8.0-К (СЗИ НСД, СКН): 
клиентская часть. </t>
    </r>
    <r>
      <rPr>
        <sz val="8"/>
        <rFont val="Arial"/>
        <family val="2"/>
        <charset val="204"/>
      </rPr>
      <t>Установка и настройка</t>
    </r>
  </si>
  <si>
    <r>
      <rPr>
        <b/>
        <sz val="8"/>
        <rFont val="Arial"/>
        <family val="2"/>
        <charset val="204"/>
      </rPr>
      <t xml:space="preserve">Dallas Lock 8.0-C (СЗИ НСД, СКН): 
клиентская часть. </t>
    </r>
    <r>
      <rPr>
        <sz val="8"/>
        <rFont val="Arial"/>
        <family val="2"/>
        <charset val="204"/>
      </rPr>
      <t>Установка и настройка</t>
    </r>
  </si>
  <si>
    <r>
      <rPr>
        <b/>
        <sz val="8"/>
        <color theme="1"/>
        <rFont val="Arial"/>
        <family val="2"/>
        <charset val="204"/>
      </rPr>
      <t xml:space="preserve">Dallas Lock Linux (СЗИ НСД, СКН):                                                                        клиентская часть. </t>
    </r>
    <r>
      <rPr>
        <sz val="8"/>
        <color theme="1"/>
        <rFont val="Arial"/>
        <family val="2"/>
        <charset val="204"/>
      </rPr>
      <t>Установка и настройка</t>
    </r>
  </si>
  <si>
    <r>
      <rPr>
        <b/>
        <sz val="8"/>
        <rFont val="Arial"/>
        <family val="2"/>
        <charset val="204"/>
      </rPr>
      <t xml:space="preserve">Dallas Lock 8.0-C (СЗИ НСД, СКН, МЭ):                                                                                 клиентская часть. </t>
    </r>
    <r>
      <rPr>
        <sz val="8"/>
        <rFont val="Arial"/>
        <family val="2"/>
        <charset val="204"/>
      </rPr>
      <t>Установка и настройка</t>
    </r>
  </si>
  <si>
    <r>
      <rPr>
        <b/>
        <sz val="8"/>
        <rFont val="Arial"/>
        <family val="2"/>
        <charset val="204"/>
      </rPr>
      <t xml:space="preserve">Dallas Lock 8.0-K (СЗИ НСД, СКН, МЭ):                                                                        клиентская часть. </t>
    </r>
    <r>
      <rPr>
        <sz val="8"/>
        <rFont val="Arial"/>
        <family val="2"/>
        <charset val="204"/>
      </rPr>
      <t>Установка и настройка</t>
    </r>
  </si>
  <si>
    <t>INST-DLLNX.C.UADS-FW.x</t>
  </si>
  <si>
    <t>INST-DLLNX.C.UADS-FW-IPS.x</t>
  </si>
  <si>
    <r>
      <rPr>
        <b/>
        <sz val="8"/>
        <color theme="1"/>
        <rFont val="Arial"/>
        <family val="2"/>
        <charset val="204"/>
      </rPr>
      <t xml:space="preserve">Dallas Lock Linux (СЗИ НСД, СКН, МЭ):                                                                                  клиентская часть. </t>
    </r>
    <r>
      <rPr>
        <sz val="8"/>
        <color theme="1"/>
        <rFont val="Arial"/>
        <family val="2"/>
        <charset val="204"/>
      </rPr>
      <t>Установка и настройка</t>
    </r>
  </si>
  <si>
    <r>
      <rPr>
        <b/>
        <sz val="8"/>
        <color theme="1"/>
        <rFont val="Arial"/>
        <family val="2"/>
        <charset val="204"/>
      </rPr>
      <t xml:space="preserve">Dallas Lock Linux (СЗИ НСД, СКН, МЭ, CОВ):                                                             клиентская часть. </t>
    </r>
    <r>
      <rPr>
        <sz val="8"/>
        <color theme="1"/>
        <rFont val="Arial"/>
        <family val="2"/>
        <charset val="204"/>
      </rPr>
      <t>Установка и настройка</t>
    </r>
  </si>
  <si>
    <r>
      <rPr>
        <b/>
        <sz val="8"/>
        <rFont val="Arial"/>
        <family val="2"/>
        <charset val="204"/>
      </rPr>
      <t xml:space="preserve">Dallas Lock WAF.
</t>
    </r>
    <r>
      <rPr>
        <sz val="8"/>
        <rFont val="Arial"/>
        <family val="2"/>
        <charset val="204"/>
      </rPr>
      <t>Установка и настройка. Проведение полноценного пилотирования.</t>
    </r>
  </si>
  <si>
    <t>от 500 000</t>
  </si>
  <si>
    <r>
      <rPr>
        <b/>
        <sz val="8"/>
        <rFont val="Arial"/>
        <family val="2"/>
        <charset val="204"/>
      </rPr>
      <t xml:space="preserve">Dallas Lock СДЗ ПР (Плата расширения).
</t>
    </r>
    <r>
      <rPr>
        <sz val="8"/>
        <rFont val="Arial"/>
        <family val="2"/>
        <charset val="204"/>
      </rPr>
      <t>Установка и настройка</t>
    </r>
  </si>
  <si>
    <r>
      <rPr>
        <b/>
        <sz val="8"/>
        <rFont val="Arial"/>
        <family val="2"/>
        <charset val="204"/>
      </rPr>
      <t xml:space="preserve">Dallas Lock СДЗ УБ (Уровня БИОС).
</t>
    </r>
    <r>
      <rPr>
        <sz val="8"/>
        <rFont val="Arial"/>
        <family val="2"/>
        <charset val="204"/>
      </rPr>
      <t>Установка и настройка</t>
    </r>
  </si>
  <si>
    <t>INST-DLTBBC.C.x</t>
  </si>
  <si>
    <t>от 15 000</t>
  </si>
  <si>
    <t>ПРОДЛЕНИЕ СРОЧНОЙ ЛИЦЕНЗИИ</t>
  </si>
  <si>
    <r>
      <t xml:space="preserve">Продление </t>
    </r>
    <r>
      <rPr>
        <b/>
        <sz val="8"/>
        <rFont val="Arial"/>
        <family val="2"/>
        <charset val="204"/>
      </rPr>
      <t>срочной лицензии</t>
    </r>
    <r>
      <rPr>
        <sz val="8"/>
        <rFont val="Arial"/>
        <family val="2"/>
        <charset val="204"/>
      </rPr>
      <t>***                                                                                          Шлюза безопасности WAF Dallas Lock сроком на 1 год.</t>
    </r>
  </si>
  <si>
    <t>ПРИОБРЕТЕНИЕ ОБНОВЛЕНИЙ БЕССРОЧНОЙ ЛИЦЕНЗИИ</t>
  </si>
  <si>
    <t xml:space="preserve">ПАКЕТНОЕ ПРЕДЛОЖЕНИЕ DALLAS LOCK LINUX ДЛЯ СЕРТИФИЦИРОВАННЫХ ОПЕРАЦИОННЫХ СИСТЕМ </t>
  </si>
  <si>
    <r>
      <t xml:space="preserve">Приобретение обновлений </t>
    </r>
    <r>
      <rPr>
        <b/>
        <sz val="8"/>
        <rFont val="Arial"/>
        <family val="2"/>
        <charset val="204"/>
      </rPr>
      <t>бессрочной лицензии</t>
    </r>
    <r>
      <rPr>
        <sz val="8"/>
        <rFont val="Arial"/>
        <family val="2"/>
        <charset val="204"/>
      </rPr>
      <t>***                                                   Шлюза безопасности WAF Dallas Lock сроком на 1 год.</t>
    </r>
  </si>
  <si>
    <t xml:space="preserve">  Система контроля доступа к сети NAC Dallas Lock</t>
  </si>
  <si>
    <t>ПАКЕТНОЕ ПРЕДЛОЖЕНИЕ ДЛЯ ОПЕРАЦИОННЫХ СИСТЕМ АСТРА 1.7/1.8</t>
  </si>
  <si>
    <t>БЕССРОЧНЫЕ ЛИЦЕНЗИИ ДЛЯ ОПЕРАЦИОННЫХ СИСТЕМ АСТРА 1.7/1.8</t>
  </si>
  <si>
    <t>Крепежная планка Low Profile или Full-Height Bracket.</t>
  </si>
  <si>
    <t>Датчик вскрытия корпуса.</t>
  </si>
  <si>
    <t>СДЗ ПР , сертификат МО России</t>
  </si>
  <si>
    <t>DLTBC.C.M2</t>
  </si>
  <si>
    <t>DLTBC.C.USB</t>
  </si>
  <si>
    <t>DLTBCMO.C.M2</t>
  </si>
  <si>
    <t>СДЗ ПР, сертификат ФСТЭК России</t>
  </si>
  <si>
    <t>DLTBC.C.PCIe</t>
  </si>
  <si>
    <t>DLTBC.C.MPCIe</t>
  </si>
  <si>
    <t>DLTBCMO.C.PCIe</t>
  </si>
  <si>
    <t>DLTBCMO.C.MPCIe</t>
  </si>
  <si>
    <t xml:space="preserve">специальная проверка </t>
  </si>
  <si>
    <t xml:space="preserve">        учесть в стоимости лицензий гарантийное сопровождение (основной пакет) на 3 года</t>
  </si>
  <si>
    <t>ОПЦИОНАЛЬНОЕ ОБОРУДОВАНИЕ</t>
  </si>
  <si>
    <t xml:space="preserve">                   учесть в стоимости гарантийное сопровождение (основной пакет) на 3 года</t>
  </si>
  <si>
    <t xml:space="preserve">         24x7</t>
  </si>
  <si>
    <t>Право на использование*** Шлюза безопасности WAF Dallas Lock. Базовая комплектация.</t>
  </si>
  <si>
    <t>Dallas Lock 8.0-С Базовый.
Право на использование** (СЗИ НСД, СКН). Бессрочная лицензия. Гарантийное сопровождение на 3 года.</t>
  </si>
  <si>
    <t>Dallas Lock 8.0-С. Модуль «Межсетевой экран».
Право на использование** (МЭ). Бессрочная лицензия. Гарантийное сопровождение на 3 года.</t>
  </si>
  <si>
    <t>Dallas Lock 8.0-С. Модуль «Система обнаружения и предотвращения вторжений». Включает модуль «Безопасная среда» («песочница»). Расширен дополнительным функционалом: модулем «Система обнаружения и реагирования».                                                                     Право на использование** (СОВ***). Бессрочная лицензия. Гарантийное сопровождение на 3 года.</t>
  </si>
  <si>
    <t>Dallas Lock 8.0-С. Модуль «Резервное копирование и восстановление»****.                     Право на использование** (РК). Бессрочная лицензия. Гарантийное сопровождение на 3 года.</t>
  </si>
  <si>
    <t>Dallas Lock 8.0-С. Модуль «СКН уровня отчуждения (переноса) информации».                            Право на использование** (СКН2). Бессрочная лицензия. Гарантийное сопровождение на 3 года.</t>
  </si>
  <si>
    <t>)**. Бессрочная лицензия.</t>
  </si>
  <si>
    <t>СЗИ ВИ Dallas Lock. Модуль «Межсетевой экран». Универсальная лицензия для ESXi, KVM серверов (гипервизоров). 
Право на использование (МЭ)**. Бессрочная лицензия.</t>
  </si>
  <si>
    <t>СЗИ ВИ Dallas Lock. Универсальная лицензия для ESXi, KVM серверов (гипервизоров). 
Право на использование (СЗИ НСД</t>
  </si>
  <si>
    <t>DLVI.S.ESXI-KVM-ENT.</t>
  </si>
  <si>
    <t>FW.</t>
  </si>
  <si>
    <t>Агент ЕЦУ Dallas Lock. Универсальная бессрочная лицензия. Право на использование.</t>
  </si>
  <si>
    <t>БЕССРОЧНЫЕ ЛИЦЕНЗИИ НА АГЕНТОВ ЕЦУ</t>
  </si>
  <si>
    <t>Действителен с 01.09.2026 г.</t>
  </si>
  <si>
    <t>Dallas Lock 8.0-С. Модуль паспортизации ПО (МП, подключение к Серверу конфигураций Dallas Lock). Право на использование**. Бессрочная лицензия.</t>
  </si>
  <si>
    <t>МОДУЛЬ ПАСПОРТИЗАЦИИ</t>
  </si>
  <si>
    <t>Dallas Lock 8.0-К. Модуль паспортизации ПО (МП, подключение к Серверу конфигураций Dallas Lock). Право на использование**. Бессрочная лицензия.</t>
  </si>
  <si>
    <t>DL80C.С.MP.x.z</t>
  </si>
  <si>
    <t>DL80K.C.MP.x.z</t>
  </si>
  <si>
    <t>БЕССРОЧНЫЕ ЛИЦЕНЗИИ НА ЦЕНТР УПРАВЛЕНИЯ СЗИ ВИ</t>
  </si>
  <si>
    <t>Цена, руб./лиц (в зависимости от количества физических процессоров под управлением)</t>
  </si>
  <si>
    <t>СЗИ ВИ "Dallas Lock" Центр (единое решение для системы управления виртуальной средой). Право на использование**. Бессрочная лицензия.</t>
  </si>
  <si>
    <t xml:space="preserve">СЗИ ВИ DALLAS LOCK (в новые проекты не поставляется) </t>
  </si>
  <si>
    <t>DALLAS LOCK 8.0-K / DALLAS LOCK 8.0-C (в новые проекты не поставляется)</t>
  </si>
  <si>
    <t>Dallas Lock 8.0-К Базовый.
Право на использование** (СЗИ НСД, СКН). Бессрочная лицензия.</t>
  </si>
  <si>
    <t>БЕССРОЧНЫЕ ЛИЦЕНЗИИ NAC DALLAS LOCK</t>
  </si>
  <si>
    <t>Право на использование*** Шлюза безопасности WAF Dallas Lock. Ограниченная комплектация: только МЭ/СОВ, 500 rps. Продаётся в составе комплекта NAC до 49 удалённых подключений. Бессрочная лицензия.****</t>
  </si>
  <si>
    <t>—</t>
  </si>
  <si>
    <t>СРОЧНЫЕ ЛИЦЕНЗИИ NAC DALLAS LOCK</t>
  </si>
  <si>
    <t>Право на использование*** Шлюза безопасности WAF Dallas Lock. Ограниченная комплектация: только МЭ/СОВ, 500 rps. Продаётся в составе комплекта NAC до 49 удалённых подключений. Срочная лицензия на 1 год.****</t>
  </si>
  <si>
    <t>Шлюз безопасности WAF Dallas Lock. Сертифицированный комплект для установки.*****</t>
  </si>
  <si>
    <t>ПЕРЕХОДЫ МЕЖДУ ПРОДУКТАМИ (АПГРЕЙД)</t>
  </si>
  <si>
    <t>UPGRD-DLW-NAC.x</t>
  </si>
  <si>
    <t>***** В стоимость входит НДС 22%.</t>
  </si>
  <si>
    <t>Цена, руб. (лицензируется по количеству удалённых агентов, подключённых к одному ЕЦУ)</t>
  </si>
  <si>
    <t>Право на использование*** Шлюза безопасности WAF Dallas Lock. Ограниченная комплектация: только МЭ/СОВ, 1000 rps. Бессрочная лицензия.**** Возможна замена любым шлюзом листа «WAF Dallas Lock».</t>
  </si>
  <si>
    <t>Право на использование*** Шлюза безопасности WAF Dallas Lock. Ограниченная комплектация: только МЭ/СОВ, 3000 rps. Бессрочная лицензия.**** Возможна замена любым шлюзом листа «WAF Dallas Lock».</t>
  </si>
  <si>
    <t>Приобретение обновлений бессрочной лицензии*** Шлюза безопасности WAF Dallas Lock сроком на 1 год.</t>
  </si>
  <si>
    <t>40% от стоимости бессрочной лицензии шлюза</t>
  </si>
  <si>
    <t>* «x» — грейд по числу АРМ (= числу агентов); для шлюзов «x» — код пропускной способности, как на листе «WAF Dallas Lock»: 0 — до 500 rps, 1 — до 1000 rps, 3 — до 3000 rps; Для UTM-NAC — лимит до 49 подключений; «1Y»/«3Y» — срок срочной лицензии; «12M»/«36M» — сопровождение бессрочной лицензии в течение 1 года / 3 лет. Переключатели над таблицей меняют сопровождение, артикул и цену. Бессрочные шлюзы — как на листе «WAF Dallas Lock»: 3 года («36M») ×1,75, 24/7 («12М247») ×1,1, вместе ×1,925. Бессрочные агенты — как агенты ЕЦУ: 3 года ×1,35, 24/7 ×1,1, вместе ×1,6. Срочные: 3 года («3Y», ×2,2 = год + два продления по 60%), 24/7 («1Y247/3Y247»), ×1,1. Шкала грейдов едина с листом «ЕЦУ Dallas Lock».</t>
  </si>
  <si>
    <t>**** В таблице приведён минимально необходимый шлюз для каждого диапазона подключений. Три шлюза по пропускной способности: UTM-NAC (500 rps) — до 49 подключений, только в составе комплекта NAC; WAF-UTM 1000 rps — для 50–499; WAF-UTM 3000 rps — для 500 и более. Диапазоны рекомендательные, а не лицензионное ограничение: возможно приобретение шлюза с листа «WAF Dallas Lock»  на любое число подключений. Указанные в таблице шлюзы — в комплектации UTM (МЭ и СОВ); базы решающих правил СОВ входят в цену и обновляются в рамках сопровождения. На листе «WAF Dallas Lock» доступны и другие комплектации (WAF, чистый МЭ). Владельцы WAF Dallas Lock докупают только агентов ЕЦУ + NAC.</t>
  </si>
  <si>
    <t>Гарантийное сопровождение и техподдержка. При приобретении бессрочной лицензии предоставляется годовое гарантийное сопровождение: обновляются сертифицированные дистрибутивы программы, сигнатуры БРП и оказывается техническая поддержка. У бессрочных лицензий переключатель «3 года» — гарантийное сопровождение на 3 года; переключатель «24/7» — расширенный уровень технической поддержки («24×7»). У срочных лицензий гарантийное сопровождение предоставляется на весь срок действия лицензии.</t>
  </si>
  <si>
    <t>Продление и обновления. Продление срочной лицензии (UPGRD-*) — 60% от её стоимости за каждый следующий год; при перерыве в продлении приобретается новая лицензия. Обновления бессрочной лицензии (UPD-*) приобретаются на 1 год и составляют 40% от стоимости бессрочной лицензии шлюза: предоставляются обновления дистрибутивов программы и базы решающих правил (БРП). При действующем гарантийном сопровождении обновления предоставляются без доплаты.</t>
  </si>
  <si>
    <t>Право на использование*** Шлюза безопасности WAF Dallas Lock. Ограниченная комплектация: только МЭ/СОВ, 1000 rps. Срочная лицензия            на 1 год.**** Возможна замена любым шлюзом листа «WAF Dallas Lock».</t>
  </si>
  <si>
    <t>Право на использование*** Шлюза безопасности WAF Dallas Lock. Ограниченная комплектация: только МЭ/СОВ, 3000 rps. Срочная лицензия            на 1 год.**** Возможна замена любым шлюзом листа «WAF Dallas Lock».</t>
  </si>
  <si>
    <t xml:space="preserve">Переход со шлюза UTM-NAC (ограничение 500 rps) на Шлюз безопасности  WAF Dallas Lock с большей пропускной способностью (лист «WAF Dallas Lock»)***. </t>
  </si>
  <si>
    <t>Продление срочной лицензии*** шлюза WAF-NAC и агентов ЕЦУ + NAC  сроком на 1 год.</t>
  </si>
  <si>
    <r>
      <rPr>
        <sz val="10"/>
        <rFont val="Arial"/>
        <family val="2"/>
        <charset val="204"/>
      </rPr>
      <t>Стоимость перехода рассчитывается по формуле:</t>
    </r>
    <r>
      <rPr>
        <b/>
        <sz val="10"/>
        <rFont val="Arial"/>
        <family val="2"/>
        <charset val="204"/>
      </rPr>
      <t xml:space="preserve"> стоимость нового шлюза 
минус стоимость шлюза WAF-NAC с коэффициентом 0,8.                  
</t>
    </r>
    <r>
      <rPr>
        <sz val="9"/>
        <rFont val="Arial"/>
        <family val="2"/>
        <charset val="204"/>
      </rPr>
      <t>Тип лицензии сохраняется.</t>
    </r>
  </si>
  <si>
    <t>Агент ЕЦУ + NAC Dallas Lock (Windows, Linux, Android) - Универсальная срочная лицензия на 1 год. Право на использование.**</t>
  </si>
  <si>
    <t>Агент ЕЦУ + NAC Dallas Lock (Windows, Linux, Android) - Универсальная бессрочная лицензия. Право на использование. **</t>
  </si>
  <si>
    <t>Dallas Lock Linux. 
Право на использование*** (CКН). Бессрочная лицензия.</t>
  </si>
  <si>
    <t>WAF DALLAS LOCK</t>
  </si>
  <si>
    <t xml:space="preserve">** ЕЦУ Dallas Lock входит в комплект без доплаты: вместе с агентами заказчик получает ЕЦУ (сервер авторизации и консоль управления), выпущенный на число купленных агентов ЕЦУ+NAC, и управляет этими агентами. Чтобы централизованно управлять СЗИ (Dallas Lock 8.0, СДЗ и др.), необходимо приобрести сами СЗИ на соответствующей странице прайса и приобрести лицензию ЕЦУ на необходимое число АРМ (по листу «ЕЦУ Dallas Lock»). </t>
  </si>
  <si>
    <t xml:space="preserve"> учесть в стоимости  гарантийное сопровождение на 3 года</t>
  </si>
  <si>
    <t xml:space="preserve"> Срочная лицензия на 3 года с гарантийным сопровождением</t>
  </si>
  <si>
    <t>\</t>
  </si>
  <si>
    <r>
      <rPr>
        <b/>
        <sz val="11"/>
        <color theme="1"/>
        <rFont val="Calibri"/>
        <family val="2"/>
        <charset val="204"/>
        <scheme val="minor"/>
      </rPr>
      <t xml:space="preserve">По вопросам приобретения продуктов обращайтесь в отдел продаж системного программного обеспечения: 
</t>
    </r>
    <r>
      <rPr>
        <sz val="11"/>
        <color theme="1"/>
        <rFont val="Calibri"/>
        <family val="2"/>
        <charset val="204"/>
        <scheme val="minor"/>
      </rPr>
      <t xml:space="preserve">
Тел.: +7 495 642 78 78, +7 (495) 921-15-67
Эл. почта: soft@rarus.ru  </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</si>
</sst>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0"/>
    <numFmt numFmtId="165" formatCode="0.000"/>
  </numFmts>
  <fonts count="37" x14ac:knownFonts="1">
    <font>
      <sz val="11"/>
      <color theme="1"/>
      <name val="Calibri"/>
      <family val="2"/>
      <charset val="204"/>
      <scheme val="minor"/>
    </font>
    <font>
      <b/>
      <sz val="10"/>
      <color indexed="8"/>
      <name val="Calibri"/>
      <family val="2"/>
      <charset val="204"/>
    </font>
    <font>
      <sz val="11"/>
      <color indexed="8"/>
      <name val="Calibri"/>
      <family val="2"/>
      <charset val="204"/>
    </font>
    <font>
      <u/>
      <sz val="11"/>
      <color indexed="12"/>
      <name val="Calibri"/>
      <family val="2"/>
      <charset val="204"/>
    </font>
    <font>
      <sz val="11"/>
      <color rgb="FFFF0000"/>
      <name val="Calibri"/>
      <family val="2"/>
      <charset val="204"/>
      <scheme val="minor"/>
    </font>
    <font>
      <sz val="10"/>
      <name val="Arial"/>
      <family val="2"/>
      <charset val="204"/>
    </font>
    <font>
      <b/>
      <sz val="9"/>
      <name val="Arial"/>
      <family val="2"/>
      <charset val="204"/>
    </font>
    <font>
      <b/>
      <sz val="9"/>
      <color theme="1"/>
      <name val="Arial"/>
      <family val="2"/>
      <charset val="204"/>
    </font>
    <font>
      <b/>
      <sz val="8"/>
      <name val="Arial"/>
      <family val="2"/>
      <charset val="204"/>
    </font>
    <font>
      <sz val="8"/>
      <name val="Arial"/>
      <family val="2"/>
      <charset val="204"/>
    </font>
    <font>
      <sz val="9"/>
      <name val="Arial"/>
      <family val="2"/>
      <charset val="204"/>
    </font>
    <font>
      <b/>
      <sz val="11"/>
      <color theme="1"/>
      <name val="Arial"/>
      <family val="2"/>
      <charset val="204"/>
    </font>
    <font>
      <b/>
      <sz val="11"/>
      <color theme="0"/>
      <name val="Calibri"/>
      <family val="2"/>
      <charset val="204"/>
      <scheme val="minor"/>
    </font>
    <font>
      <b/>
      <sz val="11"/>
      <color theme="1"/>
      <name val="Calibri"/>
      <family val="2"/>
      <charset val="204"/>
      <scheme val="minor"/>
    </font>
    <font>
      <sz val="11"/>
      <color theme="0"/>
      <name val="Calibri"/>
      <family val="2"/>
      <charset val="204"/>
      <scheme val="minor"/>
    </font>
    <font>
      <b/>
      <sz val="10"/>
      <name val="Arial"/>
      <family val="2"/>
      <charset val="204"/>
    </font>
    <font>
      <b/>
      <sz val="22"/>
      <color theme="1"/>
      <name val="Calibri"/>
      <family val="2"/>
      <charset val="204"/>
      <scheme val="minor"/>
    </font>
    <font>
      <sz val="10"/>
      <color theme="0" tint="-0.499984740745262"/>
      <name val="Arial"/>
      <family val="2"/>
      <charset val="204"/>
    </font>
    <font>
      <sz val="16"/>
      <color theme="1" tint="0.499984740745262"/>
      <name val="Calibri"/>
      <family val="2"/>
      <charset val="204"/>
      <scheme val="minor"/>
    </font>
    <font>
      <sz val="9"/>
      <color theme="1"/>
      <name val="Arial"/>
      <family val="2"/>
      <charset val="204"/>
    </font>
    <font>
      <b/>
      <sz val="11"/>
      <color theme="5"/>
      <name val="Calibri"/>
      <family val="2"/>
      <charset val="204"/>
      <scheme val="minor"/>
    </font>
    <font>
      <sz val="11"/>
      <name val="Calibri"/>
      <family val="2"/>
      <charset val="204"/>
      <scheme val="minor"/>
    </font>
    <font>
      <sz val="10"/>
      <color theme="1"/>
      <name val="Arial"/>
      <family val="2"/>
      <charset val="204"/>
    </font>
    <font>
      <b/>
      <i/>
      <u/>
      <sz val="11"/>
      <color theme="1"/>
      <name val="Arial"/>
      <family val="2"/>
      <charset val="204"/>
    </font>
    <font>
      <b/>
      <sz val="10"/>
      <color theme="1"/>
      <name val="Arial"/>
      <family val="2"/>
      <charset val="204"/>
    </font>
    <font>
      <sz val="11"/>
      <color rgb="FF000000"/>
      <name val="Calibri"/>
      <family val="2"/>
      <charset val="204"/>
      <scheme val="minor"/>
    </font>
    <font>
      <b/>
      <sz val="11"/>
      <color rgb="FF000000"/>
      <name val="Calibri"/>
      <family val="2"/>
      <charset val="204"/>
      <scheme val="minor"/>
    </font>
    <font>
      <sz val="9"/>
      <color indexed="81"/>
      <name val="Tahoma"/>
      <family val="2"/>
      <charset val="204"/>
    </font>
    <font>
      <b/>
      <sz val="9"/>
      <color indexed="81"/>
      <name val="Tahoma"/>
      <family val="2"/>
      <charset val="204"/>
    </font>
    <font>
      <sz val="10"/>
      <color indexed="8"/>
      <name val="Arial"/>
      <family val="2"/>
      <charset val="204"/>
    </font>
    <font>
      <sz val="18"/>
      <color theme="1" tint="0.499984740745262"/>
      <name val="Calibri"/>
      <family val="2"/>
      <charset val="204"/>
      <scheme val="minor"/>
    </font>
    <font>
      <u/>
      <sz val="11"/>
      <color theme="10"/>
      <name val="Calibri"/>
      <family val="2"/>
      <charset val="204"/>
      <scheme val="minor"/>
    </font>
    <font>
      <sz val="16"/>
      <color theme="0" tint="-0.499984740745262"/>
      <name val="Calibri"/>
      <family val="2"/>
      <charset val="204"/>
      <scheme val="minor"/>
    </font>
    <font>
      <sz val="8"/>
      <color theme="1"/>
      <name val="Arial"/>
      <family val="2"/>
      <charset val="204"/>
    </font>
    <font>
      <b/>
      <sz val="8"/>
      <color theme="1"/>
      <name val="Arial"/>
      <family val="2"/>
      <charset val="204"/>
    </font>
    <font>
      <b/>
      <sz val="11"/>
      <color rgb="FFFF0000"/>
      <name val="Calibri"/>
      <family val="2"/>
      <charset val="204"/>
      <scheme val="minor"/>
    </font>
    <font>
      <sz val="16"/>
      <color theme="0" tint="-0.34998626667073579"/>
      <name val="Calibri"/>
      <family val="2"/>
      <charset val="204"/>
      <scheme val="minor"/>
    </font>
  </fonts>
  <fills count="23">
    <fill>
      <patternFill patternType="none"/>
    </fill>
    <fill>
      <patternFill patternType="gray125"/>
    </fill>
    <fill>
      <patternFill patternType="solid">
        <fgColor indexed="43"/>
        <bgColor indexed="64"/>
      </patternFill>
    </fill>
    <fill>
      <patternFill patternType="solid">
        <fgColor theme="9" tint="0.59999389629810485"/>
        <bgColor theme="9" tint="0.59999389629810485"/>
      </patternFill>
    </fill>
    <fill>
      <patternFill patternType="solid">
        <fgColor theme="9" tint="0.79998168889431442"/>
        <bgColor theme="9" tint="0.79998168889431442"/>
      </patternFill>
    </fill>
    <fill>
      <patternFill patternType="solid">
        <fgColor theme="9" tint="0.39997558519241921"/>
        <bgColor indexed="64"/>
      </patternFill>
    </fill>
    <fill>
      <patternFill patternType="solid">
        <fgColor theme="9" tint="0.79998168889431442"/>
        <bgColor theme="9" tint="0.59999389629810485"/>
      </patternFill>
    </fill>
    <fill>
      <patternFill patternType="solid">
        <fgColor theme="9" tint="0.59999389629810485"/>
        <bgColor theme="9" tint="0.79998168889431442"/>
      </patternFill>
    </fill>
    <fill>
      <patternFill patternType="solid">
        <fgColor theme="0" tint="-0.499984740745262"/>
        <bgColor indexed="64"/>
      </patternFill>
    </fill>
    <fill>
      <patternFill patternType="solid">
        <fgColor theme="0"/>
        <bgColor theme="9" tint="0.79998168889431442"/>
      </patternFill>
    </fill>
    <fill>
      <patternFill patternType="solid">
        <fgColor theme="3"/>
        <bgColor indexed="64"/>
      </patternFill>
    </fill>
    <fill>
      <patternFill patternType="solid">
        <fgColor theme="0"/>
        <bgColor indexed="64"/>
      </patternFill>
    </fill>
    <fill>
      <patternFill patternType="solid">
        <fgColor theme="9" tint="0.39997558519241921"/>
        <bgColor theme="9" tint="0.59999389629810485"/>
      </patternFill>
    </fill>
    <fill>
      <patternFill patternType="solid">
        <fgColor rgb="FF25497D"/>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3"/>
        <bgColor theme="9" tint="0.59999389629810485"/>
      </patternFill>
    </fill>
    <fill>
      <patternFill patternType="solid">
        <fgColor theme="8" tint="0.79998168889431442"/>
        <bgColor indexed="64"/>
      </patternFill>
    </fill>
    <fill>
      <patternFill patternType="solid">
        <fgColor theme="9" tint="0.59999389629810485"/>
        <bgColor rgb="FFBDD7EE"/>
      </patternFill>
    </fill>
    <fill>
      <patternFill patternType="solid">
        <fgColor theme="9" tint="0.59999389629810485"/>
        <bgColor rgb="FFC6EFCE"/>
      </patternFill>
    </fill>
    <fill>
      <patternFill patternType="solid">
        <fgColor theme="9" tint="0.79998168889431442"/>
        <bgColor rgb="FFBDD7EE"/>
      </patternFill>
    </fill>
    <fill>
      <patternFill patternType="solid">
        <fgColor theme="9" tint="0.79998168889431442"/>
        <bgColor rgb="FFC6EFCE"/>
      </patternFill>
    </fill>
  </fills>
  <borders count="26">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ck">
        <color theme="0"/>
      </left>
      <right style="thick">
        <color theme="0"/>
      </right>
      <top style="thick">
        <color theme="0"/>
      </top>
      <bottom style="thick">
        <color theme="0"/>
      </bottom>
      <diagonal/>
    </border>
    <border>
      <left style="thick">
        <color theme="0"/>
      </left>
      <right/>
      <top style="thick">
        <color theme="0"/>
      </top>
      <bottom style="thick">
        <color theme="0"/>
      </bottom>
      <diagonal/>
    </border>
    <border>
      <left/>
      <right/>
      <top style="thick">
        <color theme="0"/>
      </top>
      <bottom style="thick">
        <color theme="0"/>
      </bottom>
      <diagonal/>
    </border>
    <border>
      <left/>
      <right style="thick">
        <color theme="0"/>
      </right>
      <top style="thick">
        <color theme="0"/>
      </top>
      <bottom style="thick">
        <color theme="0"/>
      </bottom>
      <diagonal/>
    </border>
    <border>
      <left/>
      <right style="thick">
        <color theme="0"/>
      </right>
      <top style="thick">
        <color theme="0"/>
      </top>
      <bottom/>
      <diagonal/>
    </border>
    <border>
      <left style="thick">
        <color theme="0"/>
      </left>
      <right style="thick">
        <color theme="0"/>
      </right>
      <top style="thick">
        <color theme="0"/>
      </top>
      <bottom/>
      <diagonal/>
    </border>
    <border>
      <left style="thick">
        <color theme="0"/>
      </left>
      <right style="thick">
        <color theme="0"/>
      </right>
      <top/>
      <bottom style="thick">
        <color theme="0"/>
      </bottom>
      <diagonal/>
    </border>
    <border>
      <left/>
      <right/>
      <top/>
      <bottom style="thick">
        <color theme="0"/>
      </bottom>
      <diagonal/>
    </border>
    <border>
      <left style="thick">
        <color theme="0"/>
      </left>
      <right style="thick">
        <color theme="0"/>
      </right>
      <top style="thick">
        <color theme="0"/>
      </top>
      <bottom style="thick">
        <color theme="0" tint="-0.499984740745262"/>
      </bottom>
      <diagonal/>
    </border>
    <border>
      <left style="thick">
        <color theme="0"/>
      </left>
      <right/>
      <top style="thick">
        <color theme="0"/>
      </top>
      <bottom/>
      <diagonal/>
    </border>
    <border>
      <left/>
      <right/>
      <top style="thick">
        <color theme="0"/>
      </top>
      <bottom/>
      <diagonal/>
    </border>
    <border>
      <left/>
      <right style="thick">
        <color rgb="FFFFFFFF"/>
      </right>
      <top style="thick">
        <color rgb="FFFFFFFF"/>
      </top>
      <bottom style="thick">
        <color rgb="FFFFFFFF"/>
      </bottom>
      <diagonal/>
    </border>
    <border>
      <left style="thick">
        <color rgb="FFFFFFFF"/>
      </left>
      <right style="thick">
        <color rgb="FFFFFFFF"/>
      </right>
      <top style="thick">
        <color rgb="FFFFFFFF"/>
      </top>
      <bottom style="thick">
        <color rgb="FFFFFFFF"/>
      </bottom>
      <diagonal/>
    </border>
    <border>
      <left/>
      <right style="thick">
        <color rgb="FFFFFFFF"/>
      </right>
      <top/>
      <bottom style="thick">
        <color rgb="FFFFFFFF"/>
      </bottom>
      <diagonal/>
    </border>
    <border>
      <left style="thick">
        <color theme="0"/>
      </left>
      <right/>
      <top/>
      <bottom/>
      <diagonal/>
    </border>
    <border>
      <left style="thick">
        <color theme="0"/>
      </left>
      <right/>
      <top/>
      <bottom style="thick">
        <color theme="0"/>
      </bottom>
      <diagonal/>
    </border>
    <border>
      <left/>
      <right style="thick">
        <color theme="0"/>
      </right>
      <top/>
      <bottom/>
      <diagonal/>
    </border>
    <border>
      <left/>
      <right style="thick">
        <color theme="0"/>
      </right>
      <top/>
      <bottom style="thick">
        <color theme="0"/>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8">
    <xf numFmtId="0" fontId="0" fillId="0" borderId="0"/>
    <xf numFmtId="0" fontId="1" fillId="2" borderId="1" applyFont="0" applyFill="0" applyAlignment="0">
      <alignment horizontal="center" vertical="center" wrapText="1"/>
    </xf>
    <xf numFmtId="0" fontId="2" fillId="0" borderId="0"/>
    <xf numFmtId="9" fontId="2" fillId="0" borderId="0" applyFont="0" applyFill="0" applyBorder="0" applyAlignment="0" applyProtection="0"/>
    <xf numFmtId="0" fontId="3"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29" fillId="16" borderId="21">
      <alignment vertical="center" wrapText="1"/>
    </xf>
    <xf numFmtId="0" fontId="31" fillId="0" borderId="0" applyNumberFormat="0" applyFill="0" applyBorder="0" applyAlignment="0" applyProtection="0"/>
  </cellStyleXfs>
  <cellXfs count="210">
    <xf numFmtId="0" fontId="0" fillId="0" borderId="0" xfId="0"/>
    <xf numFmtId="49" fontId="7" fillId="5" borderId="2" xfId="0" applyNumberFormat="1" applyFont="1" applyFill="1" applyBorder="1" applyAlignment="1">
      <alignment horizontal="center" vertical="center"/>
    </xf>
    <xf numFmtId="49" fontId="7" fillId="5" borderId="4" xfId="0" applyNumberFormat="1" applyFont="1" applyFill="1" applyBorder="1" applyAlignment="1">
      <alignment horizontal="center" vertical="center"/>
    </xf>
    <xf numFmtId="49" fontId="7" fillId="5" borderId="5" xfId="0" applyNumberFormat="1" applyFont="1" applyFill="1" applyBorder="1" applyAlignment="1">
      <alignment horizontal="center" vertical="center"/>
    </xf>
    <xf numFmtId="0" fontId="4" fillId="0" borderId="0" xfId="0" applyFont="1"/>
    <xf numFmtId="3" fontId="5" fillId="3" borderId="2" xfId="0" applyNumberFormat="1" applyFont="1" applyFill="1" applyBorder="1" applyAlignment="1">
      <alignment horizontal="center" vertical="center"/>
    </xf>
    <xf numFmtId="3" fontId="5" fillId="4" borderId="2" xfId="0" applyNumberFormat="1" applyFont="1" applyFill="1" applyBorder="1" applyAlignment="1">
      <alignment horizontal="center" vertical="center"/>
    </xf>
    <xf numFmtId="0" fontId="9" fillId="3" borderId="2" xfId="0" applyFont="1" applyFill="1" applyBorder="1" applyAlignment="1">
      <alignment horizontal="left" vertical="center" wrapText="1"/>
    </xf>
    <xf numFmtId="0" fontId="9" fillId="4" borderId="2" xfId="0" applyFont="1" applyFill="1" applyBorder="1" applyAlignment="1">
      <alignment horizontal="left" vertical="center" wrapText="1"/>
    </xf>
    <xf numFmtId="0" fontId="0" fillId="0" borderId="2" xfId="0" applyBorder="1"/>
    <xf numFmtId="3" fontId="5" fillId="6" borderId="2" xfId="0" applyNumberFormat="1" applyFont="1" applyFill="1" applyBorder="1" applyAlignment="1">
      <alignment horizontal="center" vertical="center"/>
    </xf>
    <xf numFmtId="0" fontId="11" fillId="0" borderId="0" xfId="0" applyFont="1"/>
    <xf numFmtId="3" fontId="5" fillId="7" borderId="5" xfId="0" applyNumberFormat="1" applyFont="1" applyFill="1" applyBorder="1" applyAlignment="1">
      <alignment horizontal="center" vertical="center"/>
    </xf>
    <xf numFmtId="0" fontId="13" fillId="0" borderId="0" xfId="0" applyFont="1"/>
    <xf numFmtId="0" fontId="15" fillId="3" borderId="2" xfId="0" applyFont="1" applyFill="1" applyBorder="1" applyAlignment="1">
      <alignment horizontal="left" vertical="center" wrapText="1"/>
    </xf>
    <xf numFmtId="0" fontId="15" fillId="3" borderId="2" xfId="0" applyFont="1" applyFill="1" applyBorder="1" applyAlignment="1">
      <alignment horizontal="left" vertical="center" wrapText="1" indent="4"/>
    </xf>
    <xf numFmtId="0" fontId="0" fillId="8" borderId="0" xfId="0" applyFill="1"/>
    <xf numFmtId="0" fontId="12" fillId="8" borderId="0" xfId="0" applyFont="1" applyFill="1"/>
    <xf numFmtId="0" fontId="0" fillId="10" borderId="0" xfId="0" applyFill="1"/>
    <xf numFmtId="0" fontId="12" fillId="10" borderId="0" xfId="0" applyFont="1" applyFill="1"/>
    <xf numFmtId="0" fontId="13" fillId="10" borderId="0" xfId="0" applyFont="1" applyFill="1"/>
    <xf numFmtId="0" fontId="9" fillId="4" borderId="8" xfId="0" applyFont="1" applyFill="1" applyBorder="1" applyAlignment="1">
      <alignment horizontal="left" vertical="center" wrapText="1"/>
    </xf>
    <xf numFmtId="3" fontId="5" fillId="4" borderId="8" xfId="0" applyNumberFormat="1" applyFont="1" applyFill="1" applyBorder="1" applyAlignment="1">
      <alignment horizontal="center" vertical="center"/>
    </xf>
    <xf numFmtId="0" fontId="9" fillId="3" borderId="10" xfId="0" applyFont="1" applyFill="1" applyBorder="1" applyAlignment="1">
      <alignment horizontal="left" vertical="center" wrapText="1"/>
    </xf>
    <xf numFmtId="3" fontId="5" fillId="3" borderId="10" xfId="0" applyNumberFormat="1" applyFont="1" applyFill="1" applyBorder="1" applyAlignment="1">
      <alignment horizontal="center" vertical="center"/>
    </xf>
    <xf numFmtId="0" fontId="16" fillId="0" borderId="0" xfId="0" applyFont="1"/>
    <xf numFmtId="0" fontId="15" fillId="4" borderId="2" xfId="0" applyFont="1" applyFill="1" applyBorder="1" applyAlignment="1">
      <alignment horizontal="left" vertical="center" wrapText="1"/>
    </xf>
    <xf numFmtId="0" fontId="15" fillId="3" borderId="10" xfId="0" applyFont="1" applyFill="1" applyBorder="1" applyAlignment="1">
      <alignment horizontal="left" vertical="center" wrapText="1"/>
    </xf>
    <xf numFmtId="0" fontId="15" fillId="4" borderId="8" xfId="0" applyFont="1" applyFill="1" applyBorder="1" applyAlignment="1">
      <alignment horizontal="left" vertical="center" wrapText="1" indent="4"/>
    </xf>
    <xf numFmtId="0" fontId="14" fillId="10" borderId="0" xfId="0" applyFont="1" applyFill="1"/>
    <xf numFmtId="0" fontId="15" fillId="5" borderId="7" xfId="0" applyFont="1" applyFill="1" applyBorder="1" applyAlignment="1">
      <alignment horizontal="center" vertical="center"/>
    </xf>
    <xf numFmtId="0" fontId="15" fillId="5" borderId="7" xfId="0" applyFont="1" applyFill="1" applyBorder="1" applyAlignment="1">
      <alignment horizontal="center" vertical="center" wrapText="1"/>
    </xf>
    <xf numFmtId="0" fontId="15" fillId="6" borderId="2" xfId="0" applyFont="1" applyFill="1" applyBorder="1" applyAlignment="1">
      <alignment horizontal="left" vertical="center" wrapText="1"/>
    </xf>
    <xf numFmtId="0" fontId="15" fillId="7" borderId="2" xfId="0" applyFont="1" applyFill="1" applyBorder="1" applyAlignment="1">
      <alignment horizontal="left" vertical="center" wrapText="1"/>
    </xf>
    <xf numFmtId="0" fontId="16" fillId="0" borderId="9" xfId="0" applyFont="1" applyBorder="1"/>
    <xf numFmtId="0" fontId="18" fillId="0" borderId="9" xfId="0" applyFont="1" applyBorder="1"/>
    <xf numFmtId="0" fontId="0" fillId="0" borderId="0" xfId="0" applyProtection="1">
      <protection locked="0" hidden="1"/>
    </xf>
    <xf numFmtId="0" fontId="15" fillId="9" borderId="2" xfId="0" applyFont="1" applyFill="1" applyBorder="1" applyAlignment="1">
      <alignment horizontal="left" vertical="center" wrapText="1"/>
    </xf>
    <xf numFmtId="49" fontId="7" fillId="11" borderId="2" xfId="0" applyNumberFormat="1" applyFont="1" applyFill="1" applyBorder="1" applyAlignment="1">
      <alignment horizontal="center" vertical="center" wrapText="1"/>
    </xf>
    <xf numFmtId="0" fontId="14" fillId="10" borderId="0" xfId="0" applyFont="1" applyFill="1" applyAlignment="1">
      <alignment horizontal="center"/>
    </xf>
    <xf numFmtId="3" fontId="15" fillId="9" borderId="3" xfId="0" applyNumberFormat="1" applyFont="1" applyFill="1" applyBorder="1" applyAlignment="1" applyProtection="1">
      <alignment vertical="center" wrapText="1"/>
      <protection hidden="1"/>
    </xf>
    <xf numFmtId="3" fontId="15" fillId="9" borderId="4" xfId="0" applyNumberFormat="1" applyFont="1" applyFill="1" applyBorder="1" applyAlignment="1" applyProtection="1">
      <alignment vertical="center" wrapText="1"/>
      <protection hidden="1"/>
    </xf>
    <xf numFmtId="3" fontId="15" fillId="9" borderId="5" xfId="0" applyNumberFormat="1" applyFont="1" applyFill="1" applyBorder="1" applyAlignment="1" applyProtection="1">
      <alignment horizontal="center" vertical="center" wrapText="1"/>
      <protection hidden="1"/>
    </xf>
    <xf numFmtId="3" fontId="17" fillId="9" borderId="5" xfId="0" applyNumberFormat="1" applyFont="1" applyFill="1" applyBorder="1" applyAlignment="1" applyProtection="1">
      <alignment horizontal="center" vertical="center" wrapText="1"/>
      <protection hidden="1"/>
    </xf>
    <xf numFmtId="0" fontId="0" fillId="0" borderId="0" xfId="0" applyProtection="1">
      <protection locked="0"/>
    </xf>
    <xf numFmtId="0" fontId="9" fillId="6" borderId="2" xfId="0" applyFont="1" applyFill="1" applyBorder="1" applyAlignment="1">
      <alignment horizontal="left" vertical="center" wrapText="1"/>
    </xf>
    <xf numFmtId="0" fontId="9" fillId="7" borderId="2" xfId="0" applyFont="1" applyFill="1" applyBorder="1" applyAlignment="1">
      <alignment horizontal="left" vertical="center" wrapText="1"/>
    </xf>
    <xf numFmtId="3" fontId="15" fillId="9" borderId="4" xfId="0" applyNumberFormat="1" applyFont="1" applyFill="1" applyBorder="1" applyAlignment="1" applyProtection="1">
      <alignment horizontal="center" vertical="center" wrapText="1"/>
      <protection hidden="1"/>
    </xf>
    <xf numFmtId="3" fontId="5" fillId="7" borderId="2" xfId="0" applyNumberFormat="1" applyFont="1" applyFill="1" applyBorder="1" applyAlignment="1">
      <alignment horizontal="center" vertical="center"/>
    </xf>
    <xf numFmtId="0" fontId="14" fillId="13" borderId="0" xfId="0" applyFont="1" applyFill="1"/>
    <xf numFmtId="0" fontId="21" fillId="0" borderId="0" xfId="0" applyFont="1"/>
    <xf numFmtId="0" fontId="21" fillId="0" borderId="0" xfId="0" applyFont="1" applyProtection="1">
      <protection locked="0" hidden="1"/>
    </xf>
    <xf numFmtId="0" fontId="24" fillId="14" borderId="14" xfId="0" applyFont="1" applyFill="1" applyBorder="1" applyAlignment="1">
      <alignment vertical="center" wrapText="1"/>
    </xf>
    <xf numFmtId="3" fontId="22" fillId="14" borderId="13" xfId="0" applyNumberFormat="1" applyFont="1" applyFill="1" applyBorder="1" applyAlignment="1">
      <alignment horizontal="center" vertical="center"/>
    </xf>
    <xf numFmtId="0" fontId="22" fillId="14" borderId="13" xfId="0" applyFont="1" applyFill="1" applyBorder="1" applyAlignment="1">
      <alignment horizontal="center" vertical="center"/>
    </xf>
    <xf numFmtId="3" fontId="22" fillId="15" borderId="15" xfId="0" applyNumberFormat="1" applyFont="1" applyFill="1" applyBorder="1" applyAlignment="1">
      <alignment horizontal="center" vertical="center"/>
    </xf>
    <xf numFmtId="3" fontId="22" fillId="14" borderId="15" xfId="0" applyNumberFormat="1" applyFont="1" applyFill="1" applyBorder="1" applyAlignment="1">
      <alignment horizontal="center" vertical="center"/>
    </xf>
    <xf numFmtId="0" fontId="22" fillId="14" borderId="15" xfId="0" applyFont="1" applyFill="1" applyBorder="1" applyAlignment="1">
      <alignment horizontal="center" vertical="center"/>
    </xf>
    <xf numFmtId="0" fontId="18" fillId="0" borderId="0" xfId="0" applyFont="1"/>
    <xf numFmtId="0" fontId="15" fillId="5" borderId="2" xfId="0" applyFont="1" applyFill="1" applyBorder="1" applyAlignment="1">
      <alignment horizontal="center" vertical="center"/>
    </xf>
    <xf numFmtId="0" fontId="15" fillId="5" borderId="2" xfId="0" applyFont="1" applyFill="1" applyBorder="1" applyAlignment="1">
      <alignment horizontal="center" vertical="center" wrapText="1"/>
    </xf>
    <xf numFmtId="0" fontId="25" fillId="0" borderId="0" xfId="0" applyFont="1"/>
    <xf numFmtId="1" fontId="0" fillId="0" borderId="0" xfId="0" applyNumberFormat="1"/>
    <xf numFmtId="164" fontId="0" fillId="0" borderId="0" xfId="0" applyNumberFormat="1"/>
    <xf numFmtId="2" fontId="0" fillId="0" borderId="0" xfId="0" applyNumberFormat="1"/>
    <xf numFmtId="0" fontId="0" fillId="0" borderId="20" xfId="0" applyBorder="1"/>
    <xf numFmtId="0" fontId="0" fillId="0" borderId="20" xfId="0" applyBorder="1" applyProtection="1">
      <protection locked="0" hidden="1"/>
    </xf>
    <xf numFmtId="0" fontId="0" fillId="0" borderId="20" xfId="0" applyBorder="1" applyAlignment="1">
      <alignment wrapText="1"/>
    </xf>
    <xf numFmtId="3" fontId="0" fillId="0" borderId="0" xfId="0" applyNumberFormat="1"/>
    <xf numFmtId="0" fontId="0" fillId="0" borderId="23" xfId="0" applyBorder="1"/>
    <xf numFmtId="0" fontId="16" fillId="0" borderId="23" xfId="0" applyFont="1" applyBorder="1"/>
    <xf numFmtId="0" fontId="18" fillId="0" borderId="23" xfId="0" applyFont="1" applyBorder="1" applyAlignment="1">
      <alignment vertical="center"/>
    </xf>
    <xf numFmtId="0" fontId="18" fillId="0" borderId="9" xfId="0" applyFont="1" applyBorder="1" applyAlignment="1">
      <alignment vertical="center"/>
    </xf>
    <xf numFmtId="0" fontId="30" fillId="0" borderId="9" xfId="0" applyFont="1" applyBorder="1" applyAlignment="1">
      <alignment vertical="center"/>
    </xf>
    <xf numFmtId="0" fontId="0" fillId="0" borderId="22" xfId="0" applyBorder="1"/>
    <xf numFmtId="0" fontId="16" fillId="0" borderId="23" xfId="0" applyFont="1" applyBorder="1" applyAlignment="1">
      <alignment vertical="center"/>
    </xf>
    <xf numFmtId="0" fontId="0" fillId="0" borderId="23" xfId="0" applyBorder="1" applyAlignment="1">
      <alignment vertical="center"/>
    </xf>
    <xf numFmtId="0" fontId="0" fillId="0" borderId="23" xfId="0" applyBorder="1" applyAlignment="1">
      <alignment horizontal="center" vertical="center"/>
    </xf>
    <xf numFmtId="0" fontId="0" fillId="0" borderId="0" xfId="0" applyAlignment="1">
      <alignment vertical="center"/>
    </xf>
    <xf numFmtId="0" fontId="0" fillId="0" borderId="25" xfId="0" applyBorder="1"/>
    <xf numFmtId="0" fontId="18" fillId="0" borderId="24" xfId="0" applyFont="1" applyBorder="1" applyAlignment="1">
      <alignment horizontal="center" vertical="center"/>
    </xf>
    <xf numFmtId="0" fontId="18" fillId="0" borderId="24" xfId="0" applyFont="1" applyBorder="1" applyAlignment="1">
      <alignment vertical="center"/>
    </xf>
    <xf numFmtId="3" fontId="5" fillId="4" borderId="3" xfId="0" applyNumberFormat="1" applyFont="1" applyFill="1" applyBorder="1" applyAlignment="1">
      <alignment horizontal="center" vertical="center"/>
    </xf>
    <xf numFmtId="3" fontId="5" fillId="4" borderId="4" xfId="0" applyNumberFormat="1" applyFont="1" applyFill="1" applyBorder="1" applyAlignment="1">
      <alignment horizontal="center" vertical="center"/>
    </xf>
    <xf numFmtId="3" fontId="5" fillId="4" borderId="5" xfId="0" applyNumberFormat="1" applyFont="1" applyFill="1" applyBorder="1" applyAlignment="1">
      <alignment horizontal="center" vertical="center"/>
    </xf>
    <xf numFmtId="3" fontId="5" fillId="7" borderId="3" xfId="0" applyNumberFormat="1" applyFont="1" applyFill="1" applyBorder="1" applyAlignment="1">
      <alignment horizontal="center" vertical="center"/>
    </xf>
    <xf numFmtId="3" fontId="5" fillId="7" borderId="4" xfId="0" applyNumberFormat="1" applyFont="1" applyFill="1" applyBorder="1" applyAlignment="1">
      <alignment horizontal="center" vertical="center"/>
    </xf>
    <xf numFmtId="0" fontId="15" fillId="17" borderId="0" xfId="0" applyFont="1" applyFill="1" applyAlignment="1">
      <alignment horizontal="left" vertical="center" wrapText="1"/>
    </xf>
    <xf numFmtId="0" fontId="9" fillId="17" borderId="0" xfId="0" applyFont="1" applyFill="1" applyAlignment="1">
      <alignment horizontal="left" vertical="center" wrapText="1"/>
    </xf>
    <xf numFmtId="3" fontId="5" fillId="17" borderId="0" xfId="0" applyNumberFormat="1" applyFont="1" applyFill="1" applyAlignment="1">
      <alignment horizontal="center" vertical="center"/>
    </xf>
    <xf numFmtId="0" fontId="32" fillId="0" borderId="24" xfId="7" applyFont="1" applyBorder="1" applyAlignment="1">
      <alignment vertical="center"/>
    </xf>
    <xf numFmtId="0" fontId="22" fillId="15" borderId="15" xfId="0" applyFont="1" applyFill="1" applyBorder="1" applyAlignment="1">
      <alignment horizontal="center" vertical="center"/>
    </xf>
    <xf numFmtId="0" fontId="15" fillId="6" borderId="2" xfId="0" applyFont="1" applyFill="1" applyBorder="1" applyAlignment="1">
      <alignment horizontal="left" vertical="center" wrapText="1" indent="4"/>
    </xf>
    <xf numFmtId="3" fontId="24" fillId="11" borderId="15" xfId="0" applyNumberFormat="1" applyFont="1" applyFill="1" applyBorder="1" applyAlignment="1">
      <alignment horizontal="center" vertical="center"/>
    </xf>
    <xf numFmtId="2" fontId="0" fillId="0" borderId="20" xfId="0" applyNumberFormat="1" applyBorder="1" applyProtection="1">
      <protection locked="0" hidden="1"/>
    </xf>
    <xf numFmtId="2" fontId="0" fillId="0" borderId="20" xfId="0" applyNumberFormat="1" applyBorder="1"/>
    <xf numFmtId="164" fontId="0" fillId="15" borderId="20" xfId="0" applyNumberFormat="1" applyFill="1" applyBorder="1"/>
    <xf numFmtId="0" fontId="15" fillId="4" borderId="2" xfId="0" applyFont="1" applyFill="1" applyBorder="1" applyAlignment="1">
      <alignment horizontal="left" vertical="center" wrapText="1" indent="2"/>
    </xf>
    <xf numFmtId="0" fontId="15" fillId="3" borderId="2" xfId="0" applyFont="1" applyFill="1" applyBorder="1" applyAlignment="1">
      <alignment horizontal="left" vertical="center" wrapText="1" indent="2"/>
    </xf>
    <xf numFmtId="3" fontId="15" fillId="0" borderId="2" xfId="0" applyNumberFormat="1" applyFont="1" applyBorder="1" applyAlignment="1">
      <alignment horizontal="center" vertical="center"/>
    </xf>
    <xf numFmtId="0" fontId="15" fillId="6" borderId="2" xfId="0" applyFont="1" applyFill="1" applyBorder="1" applyAlignment="1">
      <alignment horizontal="left" vertical="center" wrapText="1" indent="2"/>
    </xf>
    <xf numFmtId="165" fontId="0" fillId="0" borderId="0" xfId="0" applyNumberFormat="1"/>
    <xf numFmtId="3" fontId="15" fillId="0" borderId="4" xfId="0" applyNumberFormat="1" applyFont="1" applyBorder="1" applyAlignment="1" applyProtection="1">
      <alignment horizontal="center" vertical="center" wrapText="1"/>
      <protection hidden="1"/>
    </xf>
    <xf numFmtId="0" fontId="0" fillId="18" borderId="0" xfId="0" applyFill="1"/>
    <xf numFmtId="2" fontId="0" fillId="18" borderId="0" xfId="0" applyNumberFormat="1" applyFill="1"/>
    <xf numFmtId="1" fontId="0" fillId="18" borderId="0" xfId="0" applyNumberFormat="1" applyFill="1"/>
    <xf numFmtId="2" fontId="0" fillId="18" borderId="20" xfId="0" applyNumberFormat="1" applyFill="1" applyBorder="1" applyProtection="1">
      <protection locked="0" hidden="1"/>
    </xf>
    <xf numFmtId="164" fontId="0" fillId="18" borderId="0" xfId="0" applyNumberFormat="1" applyFill="1"/>
    <xf numFmtId="165" fontId="0" fillId="15" borderId="20" xfId="0" applyNumberFormat="1" applyFill="1" applyBorder="1"/>
    <xf numFmtId="0" fontId="33" fillId="4" borderId="2" xfId="0" applyFont="1" applyFill="1" applyBorder="1" applyAlignment="1">
      <alignment horizontal="left" vertical="center" wrapText="1"/>
    </xf>
    <xf numFmtId="0" fontId="33" fillId="7" borderId="2" xfId="0" applyFont="1" applyFill="1" applyBorder="1" applyAlignment="1">
      <alignment horizontal="left" vertical="center" wrapText="1"/>
    </xf>
    <xf numFmtId="0" fontId="15" fillId="7" borderId="2" xfId="0" applyFont="1" applyFill="1" applyBorder="1" applyAlignment="1">
      <alignment horizontal="left" vertical="center" wrapText="1" indent="4"/>
    </xf>
    <xf numFmtId="0" fontId="5" fillId="3" borderId="2" xfId="0" applyFont="1" applyFill="1" applyBorder="1" applyAlignment="1">
      <alignment horizontal="center" vertical="center" wrapText="1"/>
    </xf>
    <xf numFmtId="0" fontId="5" fillId="6" borderId="2" xfId="0" applyFont="1" applyFill="1" applyBorder="1" applyAlignment="1">
      <alignment horizontal="center" vertical="center" wrapText="1"/>
    </xf>
    <xf numFmtId="3" fontId="5" fillId="3" borderId="2" xfId="0" applyNumberFormat="1" applyFont="1" applyFill="1" applyBorder="1" applyAlignment="1">
      <alignment horizontal="center" vertical="center" wrapText="1"/>
    </xf>
    <xf numFmtId="3" fontId="5" fillId="6" borderId="2" xfId="0" applyNumberFormat="1" applyFont="1" applyFill="1" applyBorder="1" applyAlignment="1">
      <alignment horizontal="center" vertical="center" wrapText="1"/>
    </xf>
    <xf numFmtId="0" fontId="0" fillId="11" borderId="0" xfId="0" applyFill="1"/>
    <xf numFmtId="0" fontId="15" fillId="11" borderId="0" xfId="0" applyFont="1" applyFill="1" applyAlignment="1">
      <alignment horizontal="center" vertical="center"/>
    </xf>
    <xf numFmtId="0" fontId="15" fillId="11" borderId="0" xfId="0" applyFont="1" applyFill="1" applyAlignment="1">
      <alignment horizontal="center" vertical="center" wrapText="1"/>
    </xf>
    <xf numFmtId="49" fontId="7" fillId="11" borderId="0" xfId="0" applyNumberFormat="1" applyFont="1" applyFill="1" applyAlignment="1">
      <alignment horizontal="center" vertical="center"/>
    </xf>
    <xf numFmtId="0" fontId="12" fillId="13" borderId="0" xfId="0" applyFont="1" applyFill="1" applyAlignment="1">
      <alignment vertical="center"/>
    </xf>
    <xf numFmtId="0" fontId="0" fillId="10" borderId="0" xfId="0" applyFill="1" applyAlignment="1">
      <alignment horizontal="center" vertical="center"/>
    </xf>
    <xf numFmtId="0" fontId="12" fillId="10" borderId="0" xfId="0" applyFont="1" applyFill="1" applyAlignment="1">
      <alignment horizontal="center" vertical="center"/>
    </xf>
    <xf numFmtId="0" fontId="0" fillId="0" borderId="0" xfId="0" applyAlignment="1">
      <alignment horizontal="center" vertical="center"/>
    </xf>
    <xf numFmtId="0" fontId="13" fillId="11" borderId="0" xfId="0" applyFont="1" applyFill="1"/>
    <xf numFmtId="0" fontId="21" fillId="11" borderId="0" xfId="0" applyFont="1" applyFill="1"/>
    <xf numFmtId="0" fontId="14" fillId="10" borderId="0" xfId="0" applyFont="1" applyFill="1" applyAlignment="1">
      <alignment horizontal="left" vertical="top"/>
    </xf>
    <xf numFmtId="0" fontId="14" fillId="10" borderId="0" xfId="0" applyFont="1" applyFill="1" applyAlignment="1">
      <alignment horizontal="right" vertical="top"/>
    </xf>
    <xf numFmtId="0" fontId="0" fillId="10" borderId="0" xfId="0" applyFill="1" applyAlignment="1">
      <alignment horizontal="center" vertical="top"/>
    </xf>
    <xf numFmtId="0" fontId="0" fillId="0" borderId="0" xfId="0" applyAlignment="1">
      <alignment wrapText="1"/>
    </xf>
    <xf numFmtId="0" fontId="15" fillId="4" borderId="8" xfId="0" applyFont="1" applyFill="1" applyBorder="1" applyAlignment="1">
      <alignment horizontal="left" vertical="center" wrapText="1" indent="3"/>
    </xf>
    <xf numFmtId="0" fontId="35" fillId="0" borderId="2" xfId="0" applyFont="1" applyBorder="1"/>
    <xf numFmtId="0" fontId="15" fillId="4" borderId="2" xfId="0" applyFont="1" applyFill="1" applyBorder="1" applyAlignment="1">
      <alignment horizontal="left" vertical="center" wrapText="1" indent="4"/>
    </xf>
    <xf numFmtId="0" fontId="0" fillId="0" borderId="24" xfId="0" applyBorder="1"/>
    <xf numFmtId="1" fontId="0" fillId="15" borderId="24" xfId="0" applyNumberFormat="1" applyFill="1" applyBorder="1"/>
    <xf numFmtId="3" fontId="5" fillId="19" borderId="2" xfId="0" applyNumberFormat="1" applyFont="1" applyFill="1" applyBorder="1" applyAlignment="1">
      <alignment horizontal="center" vertical="center"/>
    </xf>
    <xf numFmtId="3" fontId="5" fillId="20" borderId="2" xfId="0" applyNumberFormat="1" applyFont="1" applyFill="1" applyBorder="1" applyAlignment="1">
      <alignment horizontal="center" vertical="center"/>
    </xf>
    <xf numFmtId="3" fontId="5" fillId="21" borderId="2" xfId="0" applyNumberFormat="1" applyFont="1" applyFill="1" applyBorder="1" applyAlignment="1">
      <alignment horizontal="center" vertical="center"/>
    </xf>
    <xf numFmtId="3" fontId="5" fillId="22" borderId="2" xfId="0" applyNumberFormat="1" applyFont="1" applyFill="1" applyBorder="1" applyAlignment="1">
      <alignment horizontal="center" vertical="center"/>
    </xf>
    <xf numFmtId="0" fontId="36" fillId="0" borderId="0" xfId="0" applyFont="1"/>
    <xf numFmtId="0" fontId="14" fillId="10" borderId="0" xfId="0" applyFont="1" applyFill="1" applyAlignment="1">
      <alignment vertical="center"/>
    </xf>
    <xf numFmtId="0" fontId="0" fillId="10" borderId="0" xfId="0" applyFill="1" applyAlignment="1">
      <alignment vertical="center"/>
    </xf>
    <xf numFmtId="0" fontId="12" fillId="10" borderId="0" xfId="0" applyFont="1" applyFill="1" applyAlignment="1">
      <alignment vertical="center"/>
    </xf>
    <xf numFmtId="0" fontId="0" fillId="0" borderId="2" xfId="0" applyBorder="1" applyAlignment="1">
      <alignment horizontal="center"/>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3" fontId="5" fillId="6" borderId="3" xfId="0" applyNumberFormat="1" applyFont="1" applyFill="1" applyBorder="1" applyAlignment="1">
      <alignment horizontal="center" vertical="center"/>
    </xf>
    <xf numFmtId="3" fontId="5" fillId="6" borderId="4" xfId="0" applyNumberFormat="1" applyFont="1" applyFill="1" applyBorder="1" applyAlignment="1">
      <alignment horizontal="center" vertical="center"/>
    </xf>
    <xf numFmtId="3" fontId="5" fillId="6" borderId="5" xfId="0" applyNumberFormat="1" applyFont="1" applyFill="1" applyBorder="1" applyAlignment="1">
      <alignment horizontal="center" vertical="center"/>
    </xf>
    <xf numFmtId="0" fontId="15" fillId="5" borderId="7" xfId="0" applyFont="1" applyFill="1" applyBorder="1" applyAlignment="1">
      <alignment horizontal="center" vertical="center"/>
    </xf>
    <xf numFmtId="0" fontId="15" fillId="5" borderId="8" xfId="0" applyFont="1" applyFill="1" applyBorder="1" applyAlignment="1">
      <alignment horizontal="center" vertical="center"/>
    </xf>
    <xf numFmtId="0" fontId="15" fillId="5" borderId="7" xfId="0" applyFont="1" applyFill="1" applyBorder="1" applyAlignment="1">
      <alignment horizontal="center" vertical="center" wrapText="1"/>
    </xf>
    <xf numFmtId="0" fontId="15" fillId="5" borderId="8" xfId="0" applyFont="1" applyFill="1" applyBorder="1" applyAlignment="1">
      <alignment horizontal="center" vertical="center" wrapText="1"/>
    </xf>
    <xf numFmtId="0" fontId="6" fillId="5" borderId="4" xfId="0" applyFont="1" applyFill="1" applyBorder="1" applyAlignment="1">
      <alignment horizontal="center" vertical="center" wrapText="1"/>
    </xf>
    <xf numFmtId="0" fontId="6" fillId="5" borderId="5" xfId="0" applyFont="1" applyFill="1" applyBorder="1" applyAlignment="1">
      <alignment horizontal="center" vertical="center" wrapText="1"/>
    </xf>
    <xf numFmtId="0" fontId="15" fillId="5" borderId="3" xfId="0" applyFont="1" applyFill="1" applyBorder="1" applyAlignment="1">
      <alignment horizontal="center" vertical="center" wrapText="1"/>
    </xf>
    <xf numFmtId="0" fontId="15" fillId="5" borderId="5" xfId="0" applyFont="1" applyFill="1" applyBorder="1" applyAlignment="1">
      <alignment horizontal="center" vertical="center" wrapText="1"/>
    </xf>
    <xf numFmtId="3" fontId="15" fillId="12" borderId="3" xfId="0" applyNumberFormat="1" applyFont="1" applyFill="1" applyBorder="1" applyAlignment="1">
      <alignment horizontal="center" vertical="center" wrapText="1"/>
    </xf>
    <xf numFmtId="3" fontId="15" fillId="12" borderId="4" xfId="0" applyNumberFormat="1" applyFont="1" applyFill="1" applyBorder="1" applyAlignment="1">
      <alignment horizontal="center" vertical="center" wrapText="1"/>
    </xf>
    <xf numFmtId="3" fontId="15" fillId="12" borderId="5" xfId="0" applyNumberFormat="1" applyFont="1" applyFill="1" applyBorder="1" applyAlignment="1">
      <alignment horizontal="center" vertical="center" wrapText="1"/>
    </xf>
    <xf numFmtId="3" fontId="5" fillId="4" borderId="3" xfId="0" applyNumberFormat="1" applyFont="1" applyFill="1" applyBorder="1" applyAlignment="1">
      <alignment horizontal="center" vertical="center"/>
    </xf>
    <xf numFmtId="3" fontId="5" fillId="4" borderId="4" xfId="0" applyNumberFormat="1" applyFont="1" applyFill="1" applyBorder="1" applyAlignment="1">
      <alignment horizontal="center" vertical="center"/>
    </xf>
    <xf numFmtId="3" fontId="5" fillId="4" borderId="5" xfId="0" applyNumberFormat="1" applyFont="1" applyFill="1" applyBorder="1" applyAlignment="1">
      <alignment horizontal="center" vertical="center"/>
    </xf>
    <xf numFmtId="3" fontId="5" fillId="3" borderId="3" xfId="0" applyNumberFormat="1" applyFont="1" applyFill="1" applyBorder="1" applyAlignment="1">
      <alignment horizontal="center" vertical="center"/>
    </xf>
    <xf numFmtId="3" fontId="5" fillId="3" borderId="4" xfId="0" applyNumberFormat="1" applyFont="1" applyFill="1" applyBorder="1" applyAlignment="1">
      <alignment horizontal="center" vertical="center"/>
    </xf>
    <xf numFmtId="3" fontId="5" fillId="3" borderId="5" xfId="0" applyNumberFormat="1" applyFont="1" applyFill="1" applyBorder="1" applyAlignment="1">
      <alignment horizontal="center" vertical="center"/>
    </xf>
    <xf numFmtId="0" fontId="10" fillId="5" borderId="4" xfId="0" applyFont="1" applyFill="1" applyBorder="1" applyAlignment="1">
      <alignment horizontal="center" vertical="center" wrapText="1"/>
    </xf>
    <xf numFmtId="0" fontId="10" fillId="5" borderId="5" xfId="0" applyFont="1" applyFill="1" applyBorder="1" applyAlignment="1">
      <alignment horizontal="center" vertical="center" wrapText="1"/>
    </xf>
    <xf numFmtId="3" fontId="17" fillId="9" borderId="3" xfId="0" applyNumberFormat="1" applyFont="1" applyFill="1" applyBorder="1" applyAlignment="1" applyProtection="1">
      <alignment horizontal="right" vertical="center" wrapText="1"/>
      <protection hidden="1"/>
    </xf>
    <xf numFmtId="3" fontId="17" fillId="9" borderId="4" xfId="0" applyNumberFormat="1" applyFont="1" applyFill="1" applyBorder="1" applyAlignment="1" applyProtection="1">
      <alignment horizontal="right" vertical="center" wrapText="1"/>
      <protection hidden="1"/>
    </xf>
    <xf numFmtId="0" fontId="6" fillId="5" borderId="3" xfId="0" applyFont="1" applyFill="1" applyBorder="1" applyAlignment="1">
      <alignment horizontal="center" vertical="center" wrapText="1"/>
    </xf>
    <xf numFmtId="3" fontId="15" fillId="3" borderId="3" xfId="0" applyNumberFormat="1" applyFont="1" applyFill="1" applyBorder="1" applyAlignment="1">
      <alignment horizontal="center" vertical="center"/>
    </xf>
    <xf numFmtId="3" fontId="15" fillId="3" borderId="4" xfId="0" applyNumberFormat="1" applyFont="1" applyFill="1" applyBorder="1" applyAlignment="1">
      <alignment horizontal="center" vertical="center"/>
    </xf>
    <xf numFmtId="3" fontId="15" fillId="3" borderId="5" xfId="0" applyNumberFormat="1" applyFont="1" applyFill="1" applyBorder="1" applyAlignment="1">
      <alignment horizontal="center" vertical="center"/>
    </xf>
    <xf numFmtId="0" fontId="25" fillId="0" borderId="0" xfId="0" applyFont="1" applyAlignment="1">
      <alignment vertical="top" wrapText="1"/>
    </xf>
    <xf numFmtId="3" fontId="15" fillId="6" borderId="3" xfId="0" applyNumberFormat="1" applyFont="1" applyFill="1" applyBorder="1" applyAlignment="1">
      <alignment horizontal="center" vertical="center"/>
    </xf>
    <xf numFmtId="3" fontId="15" fillId="6" borderId="4" xfId="0" applyNumberFormat="1" applyFont="1" applyFill="1" applyBorder="1" applyAlignment="1">
      <alignment horizontal="center" vertical="center"/>
    </xf>
    <xf numFmtId="3" fontId="15" fillId="6" borderId="5" xfId="0" applyNumberFormat="1" applyFont="1" applyFill="1" applyBorder="1" applyAlignment="1">
      <alignment horizontal="center" vertical="center"/>
    </xf>
    <xf numFmtId="3" fontId="15" fillId="3" borderId="3" xfId="0" applyNumberFormat="1" applyFont="1" applyFill="1" applyBorder="1" applyAlignment="1">
      <alignment horizontal="center" vertical="center" wrapText="1"/>
    </xf>
    <xf numFmtId="3" fontId="5" fillId="7" borderId="11" xfId="0" applyNumberFormat="1" applyFont="1" applyFill="1" applyBorder="1" applyAlignment="1">
      <alignment horizontal="center" vertical="center"/>
    </xf>
    <xf numFmtId="3" fontId="5" fillId="7" borderId="6" xfId="0" applyNumberFormat="1" applyFont="1" applyFill="1" applyBorder="1" applyAlignment="1">
      <alignment horizontal="center" vertical="center"/>
    </xf>
    <xf numFmtId="3" fontId="5" fillId="7" borderId="16" xfId="0" applyNumberFormat="1" applyFont="1" applyFill="1" applyBorder="1" applyAlignment="1">
      <alignment horizontal="center" vertical="center"/>
    </xf>
    <xf numFmtId="3" fontId="5" fillId="7" borderId="18" xfId="0" applyNumberFormat="1" applyFont="1" applyFill="1" applyBorder="1" applyAlignment="1">
      <alignment horizontal="center" vertical="center"/>
    </xf>
    <xf numFmtId="3" fontId="5" fillId="7" borderId="17" xfId="0" applyNumberFormat="1" applyFont="1" applyFill="1" applyBorder="1" applyAlignment="1">
      <alignment horizontal="center" vertical="center"/>
    </xf>
    <xf numFmtId="3" fontId="5" fillId="7" borderId="19" xfId="0" applyNumberFormat="1" applyFont="1" applyFill="1" applyBorder="1" applyAlignment="1">
      <alignment horizontal="center" vertical="center"/>
    </xf>
    <xf numFmtId="0" fontId="8" fillId="7" borderId="3" xfId="0" applyFont="1" applyFill="1" applyBorder="1" applyAlignment="1">
      <alignment horizontal="left" vertical="center" wrapText="1"/>
    </xf>
    <xf numFmtId="0" fontId="8" fillId="7" borderId="4" xfId="0" applyFont="1" applyFill="1" applyBorder="1" applyAlignment="1">
      <alignment horizontal="left" vertical="center" wrapText="1"/>
    </xf>
    <xf numFmtId="0" fontId="8" fillId="6" borderId="3" xfId="0" applyFont="1" applyFill="1" applyBorder="1" applyAlignment="1">
      <alignment horizontal="left" vertical="center" wrapText="1"/>
    </xf>
    <xf numFmtId="0" fontId="8" fillId="6" borderId="4" xfId="0" applyFont="1" applyFill="1" applyBorder="1" applyAlignment="1">
      <alignment horizontal="left" vertical="center" wrapText="1"/>
    </xf>
    <xf numFmtId="0" fontId="15" fillId="5" borderId="4" xfId="0" applyFont="1" applyFill="1" applyBorder="1" applyAlignment="1">
      <alignment horizontal="center" vertical="center" wrapText="1"/>
    </xf>
    <xf numFmtId="0" fontId="8" fillId="6" borderId="5" xfId="0" applyFont="1" applyFill="1" applyBorder="1" applyAlignment="1">
      <alignment horizontal="left" vertical="center" wrapText="1"/>
    </xf>
    <xf numFmtId="49" fontId="7" fillId="11" borderId="3" xfId="0" applyNumberFormat="1" applyFont="1" applyFill="1" applyBorder="1" applyAlignment="1">
      <alignment horizontal="center" vertical="center" wrapText="1"/>
    </xf>
    <xf numFmtId="49" fontId="7" fillId="11" borderId="5" xfId="0" applyNumberFormat="1" applyFont="1" applyFill="1" applyBorder="1" applyAlignment="1">
      <alignment horizontal="center" vertical="center" wrapText="1"/>
    </xf>
    <xf numFmtId="49" fontId="7" fillId="11" borderId="4" xfId="0" applyNumberFormat="1" applyFont="1" applyFill="1" applyBorder="1" applyAlignment="1">
      <alignment horizontal="center" vertical="center" wrapText="1"/>
    </xf>
    <xf numFmtId="0" fontId="8" fillId="9" borderId="3" xfId="0" applyFont="1" applyFill="1" applyBorder="1" applyAlignment="1">
      <alignment horizontal="center" vertical="center" wrapText="1"/>
    </xf>
    <xf numFmtId="0" fontId="8" fillId="9" borderId="4" xfId="0" applyFont="1" applyFill="1" applyBorder="1" applyAlignment="1">
      <alignment horizontal="center" vertical="center" wrapText="1"/>
    </xf>
    <xf numFmtId="0" fontId="8" fillId="7" borderId="5" xfId="0" applyFont="1" applyFill="1" applyBorder="1" applyAlignment="1">
      <alignment horizontal="left" vertical="center" wrapText="1"/>
    </xf>
    <xf numFmtId="0" fontId="15" fillId="5" borderId="11" xfId="0" applyFont="1" applyFill="1" applyBorder="1" applyAlignment="1">
      <alignment horizontal="center" vertical="center" wrapText="1"/>
    </xf>
    <xf numFmtId="0" fontId="15" fillId="5" borderId="12" xfId="0" applyFont="1" applyFill="1" applyBorder="1" applyAlignment="1">
      <alignment horizontal="center" vertical="center" wrapText="1"/>
    </xf>
    <xf numFmtId="0" fontId="15" fillId="5" borderId="6" xfId="0" applyFont="1" applyFill="1" applyBorder="1" applyAlignment="1">
      <alignment horizontal="center" vertical="center" wrapText="1"/>
    </xf>
    <xf numFmtId="0" fontId="8" fillId="9" borderId="3" xfId="0" applyFont="1" applyFill="1" applyBorder="1" applyAlignment="1">
      <alignment horizontal="left" vertical="center" wrapText="1"/>
    </xf>
    <xf numFmtId="0" fontId="8" fillId="9" borderId="4" xfId="0" applyFont="1" applyFill="1" applyBorder="1" applyAlignment="1">
      <alignment horizontal="left" vertical="center" wrapText="1"/>
    </xf>
    <xf numFmtId="0" fontId="8" fillId="9" borderId="5" xfId="0" applyFont="1" applyFill="1" applyBorder="1" applyAlignment="1">
      <alignment horizontal="left" vertical="center" wrapText="1"/>
    </xf>
    <xf numFmtId="3" fontId="5" fillId="7" borderId="3" xfId="0" applyNumberFormat="1" applyFont="1" applyFill="1" applyBorder="1" applyAlignment="1">
      <alignment horizontal="center" vertical="center"/>
    </xf>
    <xf numFmtId="3" fontId="5" fillId="7" borderId="4" xfId="0" applyNumberFormat="1" applyFont="1" applyFill="1" applyBorder="1" applyAlignment="1">
      <alignment horizontal="center" vertical="center"/>
    </xf>
    <xf numFmtId="3" fontId="5" fillId="7" borderId="5" xfId="0" applyNumberFormat="1" applyFont="1" applyFill="1" applyBorder="1" applyAlignment="1">
      <alignment horizontal="center" vertical="center"/>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horizontal="left" vertical="top" wrapText="1"/>
    </xf>
  </cellXfs>
  <cellStyles count="8">
    <cellStyle name="Style 1" xfId="6"/>
    <cellStyle name="Гиперссылка" xfId="7" builtinId="8"/>
    <cellStyle name="Гиперссылка 2" xfId="4"/>
    <cellStyle name="Гиперссылка 3" xfId="5"/>
    <cellStyle name="Обычный" xfId="0" builtinId="0"/>
    <cellStyle name="Обычный 2" xfId="2"/>
    <cellStyle name="Процентный 2" xfId="3"/>
    <cellStyle name="Стиль 1" xfId="1"/>
  </cellStyles>
  <dxfs count="43">
    <dxf>
      <fill>
        <patternFill>
          <bgColor rgb="FFA50021"/>
        </patternFill>
      </fill>
    </dxf>
    <dxf>
      <fill>
        <patternFill>
          <bgColor rgb="FFA50021"/>
        </patternFill>
      </fill>
    </dxf>
    <dxf>
      <fill>
        <patternFill>
          <bgColor rgb="FFA50021"/>
        </patternFill>
      </fill>
    </dxf>
    <dxf>
      <fill>
        <patternFill>
          <bgColor rgb="FFA50021"/>
        </patternFill>
      </fill>
    </dxf>
    <dxf>
      <fill>
        <patternFill>
          <bgColor rgb="FFC00000"/>
        </patternFill>
      </fill>
    </dxf>
    <dxf>
      <fill>
        <patternFill>
          <bgColor rgb="FFC00000"/>
        </patternFill>
      </fill>
    </dxf>
    <dxf>
      <fill>
        <patternFill>
          <bgColor rgb="FFC00000"/>
        </patternFill>
      </fill>
    </dxf>
    <dxf>
      <fill>
        <patternFill>
          <bgColor rgb="FFC00000"/>
        </patternFill>
      </fill>
    </dxf>
    <dxf>
      <border>
        <bottom style="medium">
          <color rgb="FFC00000"/>
        </bottom>
      </border>
    </dxf>
    <dxf>
      <fill>
        <patternFill>
          <bgColor rgb="FFC00000"/>
        </patternFill>
      </fill>
    </dxf>
    <dxf>
      <border>
        <bottom style="medium">
          <color rgb="FFC00000"/>
        </bottom>
      </border>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A50021"/>
        </patternFill>
      </fill>
    </dxf>
    <dxf>
      <fill>
        <patternFill>
          <bgColor rgb="FFA50021"/>
        </patternFill>
      </fill>
    </dxf>
    <dxf>
      <fill>
        <patternFill>
          <bgColor rgb="FFA50021"/>
        </patternFill>
      </fill>
    </dxf>
    <dxf>
      <fill>
        <patternFill>
          <bgColor rgb="FFA50021"/>
        </patternFill>
      </fill>
    </dxf>
    <dxf>
      <fill>
        <patternFill>
          <bgColor rgb="FFA50021"/>
        </patternFill>
      </fill>
    </dxf>
    <dxf>
      <fill>
        <patternFill>
          <bgColor rgb="FFA50021"/>
        </patternFill>
      </fill>
    </dxf>
    <dxf>
      <fill>
        <patternFill>
          <bgColor rgb="FFA50021"/>
        </patternFill>
      </fill>
    </dxf>
    <dxf>
      <fill>
        <patternFill>
          <bgColor rgb="FFA50021"/>
        </patternFill>
      </fill>
    </dxf>
    <dxf>
      <fill>
        <patternFill>
          <bgColor rgb="FFA50021"/>
        </patternFill>
      </fill>
    </dxf>
    <dxf>
      <fill>
        <patternFill>
          <bgColor rgb="FFA50021"/>
        </patternFill>
      </fill>
    </dxf>
    <dxf>
      <fill>
        <patternFill>
          <bgColor rgb="FFA50021"/>
        </patternFill>
      </fill>
    </dxf>
    <dxf>
      <fill>
        <patternFill>
          <bgColor rgb="FFA50021"/>
        </patternFill>
      </fill>
    </dxf>
    <dxf>
      <fill>
        <patternFill>
          <bgColor rgb="FFA50021"/>
        </patternFill>
      </fill>
    </dxf>
    <dxf>
      <fill>
        <patternFill>
          <bgColor rgb="FFA50021"/>
        </patternFill>
      </fill>
    </dxf>
    <dxf>
      <fill>
        <patternFill>
          <bgColor rgb="FFA50021"/>
        </patternFill>
      </fill>
    </dxf>
    <dxf>
      <fill>
        <patternFill>
          <bgColor rgb="FFA50021"/>
        </patternFill>
      </fill>
    </dxf>
    <dxf>
      <fill>
        <patternFill>
          <bgColor rgb="FFA50021"/>
        </patternFill>
      </fill>
    </dxf>
    <dxf>
      <fill>
        <patternFill>
          <bgColor rgb="FFA50021"/>
        </patternFill>
      </fill>
    </dxf>
    <dxf>
      <fill>
        <patternFill>
          <bgColor rgb="FFA50021"/>
        </patternFill>
      </fill>
    </dxf>
    <dxf>
      <fill>
        <patternFill>
          <bgColor rgb="FFA50021"/>
        </patternFill>
      </fill>
    </dxf>
    <dxf>
      <fill>
        <patternFill>
          <bgColor rgb="FFA50021"/>
        </patternFill>
      </fill>
    </dxf>
    <dxf>
      <fill>
        <patternFill>
          <bgColor rgb="FFA50021"/>
        </patternFill>
      </fill>
    </dxf>
    <dxf>
      <fill>
        <patternFill>
          <bgColor rgb="FFA50021"/>
        </patternFill>
      </fill>
    </dxf>
    <dxf>
      <fill>
        <patternFill>
          <bgColor rgb="FFA50021"/>
        </patternFill>
      </fill>
    </dxf>
    <dxf>
      <fill>
        <patternFill>
          <bgColor rgb="FFA50021"/>
        </patternFill>
      </fill>
    </dxf>
    <dxf>
      <fill>
        <patternFill>
          <bgColor rgb="FFA50021"/>
        </patternFill>
      </fill>
    </dxf>
    <dxf>
      <fill>
        <patternFill>
          <bgColor rgb="FFA50021"/>
        </patternFill>
      </fill>
    </dxf>
  </dxfs>
  <tableStyles count="2" defaultTableStyle="TableStyleMedium2" defaultPivotStyle="PivotStyleLight16">
    <tableStyle name="Стиль сводной таблицы 1" table="0" count="0"/>
    <tableStyle name="Стиль таблицы 1" pivot="0" count="0"/>
  </tableStyles>
  <colors>
    <mruColors>
      <color rgb="FFA50021"/>
      <color rgb="FF800000"/>
      <color rgb="FF16365C"/>
      <color rgb="FF33CCCC"/>
      <color rgb="FFFF5050"/>
      <color rgb="FFFFCC00"/>
      <color rgb="FFFFCCCC"/>
      <color rgb="FFFF6600"/>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fmlaLink="$O$7" lockText="1"/>
</file>

<file path=xl/ctrlProps/ctrlProp10.xml><?xml version="1.0" encoding="utf-8"?>
<formControlPr xmlns="http://schemas.microsoft.com/office/spreadsheetml/2009/9/main" objectType="CheckBox" fmlaLink="$O$7" lockText="1"/>
</file>

<file path=xl/ctrlProps/ctrlProp11.xml><?xml version="1.0" encoding="utf-8"?>
<formControlPr xmlns="http://schemas.microsoft.com/office/spreadsheetml/2009/9/main" objectType="CheckBox" fmlaLink="$O$22" lockText="1"/>
</file>

<file path=xl/ctrlProps/ctrlProp12.xml><?xml version="1.0" encoding="utf-8"?>
<formControlPr xmlns="http://schemas.microsoft.com/office/spreadsheetml/2009/9/main" objectType="CheckBox" fmlaLink="$Q$22" lockText="1"/>
</file>

<file path=xl/ctrlProps/ctrlProp13.xml><?xml version="1.0" encoding="utf-8"?>
<formControlPr xmlns="http://schemas.microsoft.com/office/spreadsheetml/2009/9/main" objectType="CheckBox" fmlaLink="$O$13" lockText="1"/>
</file>

<file path=xl/ctrlProps/ctrlProp14.xml><?xml version="1.0" encoding="utf-8"?>
<formControlPr xmlns="http://schemas.microsoft.com/office/spreadsheetml/2009/9/main" objectType="CheckBox" fmlaLink="$O$14" lockText="1"/>
</file>

<file path=xl/ctrlProps/ctrlProp15.xml><?xml version="1.0" encoding="utf-8"?>
<formControlPr xmlns="http://schemas.microsoft.com/office/spreadsheetml/2009/9/main" objectType="CheckBox" fmlaLink="$O$9" lockText="1"/>
</file>

<file path=xl/ctrlProps/ctrlProp16.xml><?xml version="1.0" encoding="utf-8"?>
<formControlPr xmlns="http://schemas.microsoft.com/office/spreadsheetml/2009/9/main" objectType="CheckBox" fmlaLink="$O$10" lockText="1"/>
</file>

<file path=xl/ctrlProps/ctrlProp17.xml><?xml version="1.0" encoding="utf-8"?>
<formControlPr xmlns="http://schemas.microsoft.com/office/spreadsheetml/2009/9/main" objectType="CheckBox" fmlaLink="$O$7" lockText="1"/>
</file>

<file path=xl/ctrlProps/ctrlProp18.xml><?xml version="1.0" encoding="utf-8"?>
<formControlPr xmlns="http://schemas.microsoft.com/office/spreadsheetml/2009/9/main" objectType="CheckBox" fmlaLink="$Q$7" lockText="1"/>
</file>

<file path=xl/ctrlProps/ctrlProp19.xml><?xml version="1.0" encoding="utf-8"?>
<formControlPr xmlns="http://schemas.microsoft.com/office/spreadsheetml/2009/9/main" objectType="CheckBox" fmlaLink="$O$13" lockText="1"/>
</file>

<file path=xl/ctrlProps/ctrlProp2.xml><?xml version="1.0" encoding="utf-8"?>
<formControlPr xmlns="http://schemas.microsoft.com/office/spreadsheetml/2009/9/main" objectType="CheckBox" fmlaLink="$Q$7" lockText="1"/>
</file>

<file path=xl/ctrlProps/ctrlProp20.xml><?xml version="1.0" encoding="utf-8"?>
<formControlPr xmlns="http://schemas.microsoft.com/office/spreadsheetml/2009/9/main" objectType="CheckBox" fmlaLink="$O$14" lockText="1"/>
</file>

<file path=xl/ctrlProps/ctrlProp21.xml><?xml version="1.0" encoding="utf-8"?>
<formControlPr xmlns="http://schemas.microsoft.com/office/spreadsheetml/2009/9/main" objectType="CheckBox" fmlaLink="$O$33" lockText="1"/>
</file>

<file path=xl/ctrlProps/ctrlProp22.xml><?xml version="1.0" encoding="utf-8"?>
<formControlPr xmlns="http://schemas.microsoft.com/office/spreadsheetml/2009/9/main" objectType="CheckBox" fmlaLink="$Q$33" lockText="1"/>
</file>

<file path=xl/ctrlProps/ctrlProp23.xml><?xml version="1.0" encoding="utf-8"?>
<formControlPr xmlns="http://schemas.microsoft.com/office/spreadsheetml/2009/9/main" objectType="CheckBox" fmlaLink="$O$13" lockText="1"/>
</file>

<file path=xl/ctrlProps/ctrlProp24.xml><?xml version="1.0" encoding="utf-8"?>
<formControlPr xmlns="http://schemas.microsoft.com/office/spreadsheetml/2009/9/main" objectType="CheckBox" fmlaLink="$O$14" lockText="1"/>
</file>

<file path=xl/ctrlProps/ctrlProp25.xml><?xml version="1.0" encoding="utf-8"?>
<formControlPr xmlns="http://schemas.microsoft.com/office/spreadsheetml/2009/9/main" objectType="CheckBox" fmlaLink="$O$12" lockText="1"/>
</file>

<file path=xl/ctrlProps/ctrlProp26.xml><?xml version="1.0" encoding="utf-8"?>
<formControlPr xmlns="http://schemas.microsoft.com/office/spreadsheetml/2009/9/main" objectType="CheckBox" fmlaLink="$O$11" lockText="1"/>
</file>

<file path=xl/ctrlProps/ctrlProp27.xml><?xml version="1.0" encoding="utf-8"?>
<formControlPr xmlns="http://schemas.microsoft.com/office/spreadsheetml/2009/9/main" objectType="CheckBox" fmlaLink="$Q$11" lockText="1"/>
</file>

<file path=xl/ctrlProps/ctrlProp28.xml><?xml version="1.0" encoding="utf-8"?>
<formControlPr xmlns="http://schemas.microsoft.com/office/spreadsheetml/2009/9/main" objectType="CheckBox" fmlaLink="$O$7" lockText="1"/>
</file>

<file path=xl/ctrlProps/ctrlProp29.xml><?xml version="1.0" encoding="utf-8"?>
<formControlPr xmlns="http://schemas.microsoft.com/office/spreadsheetml/2009/9/main" objectType="CheckBox" fmlaLink="$Q$7" lockText="1"/>
</file>

<file path=xl/ctrlProps/ctrlProp3.xml><?xml version="1.0" encoding="utf-8"?>
<formControlPr xmlns="http://schemas.microsoft.com/office/spreadsheetml/2009/9/main" objectType="CheckBox" fmlaLink="$O$10" lockText="1"/>
</file>

<file path=xl/ctrlProps/ctrlProp30.xml><?xml version="1.0" encoding="utf-8"?>
<formControlPr xmlns="http://schemas.microsoft.com/office/spreadsheetml/2009/9/main" objectType="CheckBox" fmlaLink="$O$24" lockText="1"/>
</file>

<file path=xl/ctrlProps/ctrlProp31.xml><?xml version="1.0" encoding="utf-8"?>
<formControlPr xmlns="http://schemas.microsoft.com/office/spreadsheetml/2009/9/main" objectType="CheckBox" fmlaLink="$O$25" lockText="1"/>
</file>

<file path=xl/ctrlProps/ctrlProp32.xml><?xml version="1.0" encoding="utf-8"?>
<formControlPr xmlns="http://schemas.microsoft.com/office/spreadsheetml/2009/9/main" objectType="CheckBox" fmlaLink="$O$23" lockText="1"/>
</file>

<file path=xl/ctrlProps/ctrlProp33.xml><?xml version="1.0" encoding="utf-8"?>
<formControlPr xmlns="http://schemas.microsoft.com/office/spreadsheetml/2009/9/main" objectType="CheckBox" fmlaLink="$O$22" lockText="1"/>
</file>

<file path=xl/ctrlProps/ctrlProp34.xml><?xml version="1.0" encoding="utf-8"?>
<formControlPr xmlns="http://schemas.microsoft.com/office/spreadsheetml/2009/9/main" objectType="CheckBox" fmlaLink="$Q$22" lockText="1"/>
</file>

<file path=xl/ctrlProps/ctrlProp35.xml><?xml version="1.0" encoding="utf-8"?>
<formControlPr xmlns="http://schemas.microsoft.com/office/spreadsheetml/2009/9/main" objectType="CheckBox" fmlaLink="$O$18" lockText="1"/>
</file>

<file path=xl/ctrlProps/ctrlProp36.xml><?xml version="1.0" encoding="utf-8"?>
<formControlPr xmlns="http://schemas.microsoft.com/office/spreadsheetml/2009/9/main" objectType="CheckBox" fmlaLink="$Q$18" lockText="1"/>
</file>

<file path=xl/ctrlProps/ctrlProp37.xml><?xml version="1.0" encoding="utf-8"?>
<formControlPr xmlns="http://schemas.microsoft.com/office/spreadsheetml/2009/9/main" objectType="CheckBox" fmlaLink="$O$9" lockText="1"/>
</file>

<file path=xl/ctrlProps/ctrlProp38.xml><?xml version="1.0" encoding="utf-8"?>
<formControlPr xmlns="http://schemas.microsoft.com/office/spreadsheetml/2009/9/main" objectType="CheckBox" fmlaLink="$O$11" lockText="1"/>
</file>

<file path=xl/ctrlProps/ctrlProp39.xml><?xml version="1.0" encoding="utf-8"?>
<formControlPr xmlns="http://schemas.microsoft.com/office/spreadsheetml/2009/9/main" objectType="CheckBox" fmlaLink="$O$12" lockText="1"/>
</file>

<file path=xl/ctrlProps/ctrlProp4.xml><?xml version="1.0" encoding="utf-8"?>
<formControlPr xmlns="http://schemas.microsoft.com/office/spreadsheetml/2009/9/main" objectType="CheckBox" fmlaLink="$Q$6" lockText="1"/>
</file>

<file path=xl/ctrlProps/ctrlProp40.xml><?xml version="1.0" encoding="utf-8"?>
<formControlPr xmlns="http://schemas.microsoft.com/office/spreadsheetml/2009/9/main" objectType="CheckBox" fmlaLink="$O$23" lockText="1"/>
</file>

<file path=xl/ctrlProps/ctrlProp41.xml><?xml version="1.0" encoding="utf-8"?>
<formControlPr xmlns="http://schemas.microsoft.com/office/spreadsheetml/2009/9/main" objectType="CheckBox" fmlaLink="$S$23" lockText="1"/>
</file>

<file path=xl/ctrlProps/ctrlProp42.xml><?xml version="1.0" encoding="utf-8"?>
<formControlPr xmlns="http://schemas.microsoft.com/office/spreadsheetml/2009/9/main" objectType="CheckBox" fmlaLink="$O$9" lockText="1"/>
</file>

<file path=xl/ctrlProps/ctrlProp43.xml><?xml version="1.0" encoding="utf-8"?>
<formControlPr xmlns="http://schemas.microsoft.com/office/spreadsheetml/2009/9/main" objectType="CheckBox" fmlaLink="$O$10" lockText="1"/>
</file>

<file path=xl/ctrlProps/ctrlProp44.xml><?xml version="1.0" encoding="utf-8"?>
<formControlPr xmlns="http://schemas.microsoft.com/office/spreadsheetml/2009/9/main" objectType="CheckBox" fmlaLink="$O$12" lockText="1"/>
</file>

<file path=xl/ctrlProps/ctrlProp45.xml><?xml version="1.0" encoding="utf-8"?>
<formControlPr xmlns="http://schemas.microsoft.com/office/spreadsheetml/2009/9/main" objectType="CheckBox" fmlaLink="$O$7" lockText="1"/>
</file>

<file path=xl/ctrlProps/ctrlProp46.xml><?xml version="1.0" encoding="utf-8"?>
<formControlPr xmlns="http://schemas.microsoft.com/office/spreadsheetml/2009/9/main" objectType="CheckBox" fmlaLink="$S$7" lockText="1"/>
</file>

<file path=xl/ctrlProps/ctrlProp47.xml><?xml version="1.0" encoding="utf-8"?>
<formControlPr xmlns="http://schemas.microsoft.com/office/spreadsheetml/2009/9/main" objectType="CheckBox" fmlaLink="$O$9" lockText="1"/>
</file>

<file path=xl/ctrlProps/ctrlProp48.xml><?xml version="1.0" encoding="utf-8"?>
<formControlPr xmlns="http://schemas.microsoft.com/office/spreadsheetml/2009/9/main" objectType="CheckBox" fmlaLink="$O$10" lockText="1"/>
</file>

<file path=xl/ctrlProps/ctrlProp49.xml><?xml version="1.0" encoding="utf-8"?>
<formControlPr xmlns="http://schemas.microsoft.com/office/spreadsheetml/2009/9/main" objectType="CheckBox" fmlaLink="$O$11" lockText="1"/>
</file>

<file path=xl/ctrlProps/ctrlProp5.xml><?xml version="1.0" encoding="utf-8"?>
<formControlPr xmlns="http://schemas.microsoft.com/office/spreadsheetml/2009/9/main" objectType="CheckBox" fmlaLink="$O$28" lockText="1"/>
</file>

<file path=xl/ctrlProps/ctrlProp50.xml><?xml version="1.0" encoding="utf-8"?>
<formControlPr xmlns="http://schemas.microsoft.com/office/spreadsheetml/2009/9/main" objectType="CheckBox" fmlaLink="$O$12" lockText="1"/>
</file>

<file path=xl/ctrlProps/ctrlProp51.xml><?xml version="1.0" encoding="utf-8"?>
<formControlPr xmlns="http://schemas.microsoft.com/office/spreadsheetml/2009/9/main" objectType="CheckBox" fmlaLink="$S$7" lockText="1"/>
</file>

<file path=xl/ctrlProps/ctrlProp52.xml><?xml version="1.0" encoding="utf-8"?>
<formControlPr xmlns="http://schemas.microsoft.com/office/spreadsheetml/2009/9/main" objectType="CheckBox" fmlaLink="$O$23" lockText="1"/>
</file>

<file path=xl/ctrlProps/ctrlProp53.xml><?xml version="1.0" encoding="utf-8"?>
<formControlPr xmlns="http://schemas.microsoft.com/office/spreadsheetml/2009/9/main" objectType="CheckBox" fmlaLink="$S$23" lockText="1"/>
</file>

<file path=xl/ctrlProps/ctrlProp54.xml><?xml version="1.0" encoding="utf-8"?>
<formControlPr xmlns="http://schemas.microsoft.com/office/spreadsheetml/2009/9/main" objectType="CheckBox" fmlaLink="$Q$7" lockText="1"/>
</file>

<file path=xl/ctrlProps/ctrlProp55.xml><?xml version="1.0" encoding="utf-8"?>
<formControlPr xmlns="http://schemas.microsoft.com/office/spreadsheetml/2009/9/main" objectType="CheckBox" fmlaLink="$O$18" lockText="1"/>
</file>

<file path=xl/ctrlProps/ctrlProp56.xml><?xml version="1.0" encoding="utf-8"?>
<formControlPr xmlns="http://schemas.microsoft.com/office/spreadsheetml/2009/9/main" objectType="CheckBox" fmlaLink="$Q$18" lockText="1"/>
</file>

<file path=xl/ctrlProps/ctrlProp57.xml><?xml version="1.0" encoding="utf-8"?>
<formControlPr xmlns="http://schemas.microsoft.com/office/spreadsheetml/2009/9/main" objectType="CheckBox" fmlaLink="$O$7" lockText="1"/>
</file>

<file path=xl/ctrlProps/ctrlProp58.xml><?xml version="1.0" encoding="utf-8"?>
<formControlPr xmlns="http://schemas.microsoft.com/office/spreadsheetml/2009/9/main" objectType="CheckBox" fmlaLink="$K$7" lockText="1"/>
</file>

<file path=xl/ctrlProps/ctrlProp59.xml><?xml version="1.0" encoding="utf-8"?>
<formControlPr xmlns="http://schemas.microsoft.com/office/spreadsheetml/2009/9/main" objectType="CheckBox" fmlaLink="$I$7" lockText="1"/>
</file>

<file path=xl/ctrlProps/ctrlProp6.xml><?xml version="1.0" encoding="utf-8"?>
<formControlPr xmlns="http://schemas.microsoft.com/office/spreadsheetml/2009/9/main" objectType="CheckBox" fmlaLink="$Q$28" lockText="1"/>
</file>

<file path=xl/ctrlProps/ctrlProp60.xml><?xml version="1.0" encoding="utf-8"?>
<formControlPr xmlns="http://schemas.microsoft.com/office/spreadsheetml/2009/9/main" objectType="CheckBox" fmlaLink="$K$18" lockText="1"/>
</file>

<file path=xl/ctrlProps/ctrlProp61.xml><?xml version="1.0" encoding="utf-8"?>
<formControlPr xmlns="http://schemas.microsoft.com/office/spreadsheetml/2009/9/main" objectType="CheckBox" fmlaLink="$P$9" lockText="1"/>
</file>

<file path=xl/ctrlProps/ctrlProp62.xml><?xml version="1.0" encoding="utf-8"?>
<formControlPr xmlns="http://schemas.microsoft.com/office/spreadsheetml/2009/9/main" objectType="CheckBox" fmlaLink="$P$10" lockText="1"/>
</file>

<file path=xl/ctrlProps/ctrlProp63.xml><?xml version="1.0" encoding="utf-8"?>
<formControlPr xmlns="http://schemas.microsoft.com/office/spreadsheetml/2009/9/main" objectType="CheckBox" fmlaLink="$P$13" lockText="1"/>
</file>

<file path=xl/ctrlProps/ctrlProp64.xml><?xml version="1.0" encoding="utf-8"?>
<formControlPr xmlns="http://schemas.microsoft.com/office/spreadsheetml/2009/9/main" objectType="CheckBox" fmlaLink="$P$20" lockText="1"/>
</file>

<file path=xl/ctrlProps/ctrlProp65.xml><?xml version="1.0" encoding="utf-8"?>
<formControlPr xmlns="http://schemas.microsoft.com/office/spreadsheetml/2009/9/main" objectType="CheckBox" fmlaLink="$P$24" lockText="1"/>
</file>

<file path=xl/ctrlProps/ctrlProp66.xml><?xml version="1.0" encoding="utf-8"?>
<formControlPr xmlns="http://schemas.microsoft.com/office/spreadsheetml/2009/9/main" objectType="CheckBox" fmlaLink="$P$21" lockText="1"/>
</file>

<file path=xl/ctrlProps/ctrlProp67.xml><?xml version="1.0" encoding="utf-8"?>
<formControlPr xmlns="http://schemas.microsoft.com/office/spreadsheetml/2009/9/main" objectType="CheckBox" fmlaLink="$I$18" lockText="1"/>
</file>

<file path=xl/ctrlProps/ctrlProp68.xml><?xml version="1.0" encoding="utf-8"?>
<formControlPr xmlns="http://schemas.microsoft.com/office/spreadsheetml/2009/9/main" objectType="CheckBox" fmlaLink="$O$7" lockText="1"/>
</file>

<file path=xl/ctrlProps/ctrlProp69.xml><?xml version="1.0" encoding="utf-8"?>
<formControlPr xmlns="http://schemas.microsoft.com/office/spreadsheetml/2009/9/main" objectType="CheckBox" fmlaLink="$Q$7" lockText="1"/>
</file>

<file path=xl/ctrlProps/ctrlProp7.xml><?xml version="1.0" encoding="utf-8"?>
<formControlPr xmlns="http://schemas.microsoft.com/office/spreadsheetml/2009/9/main" objectType="CheckBox" fmlaLink="$Q$23" lockText="1"/>
</file>

<file path=xl/ctrlProps/ctrlProp70.xml><?xml version="1.0" encoding="utf-8"?>
<formControlPr xmlns="http://schemas.microsoft.com/office/spreadsheetml/2009/9/main" objectType="CheckBox" fmlaLink="$O$14" lockText="1"/>
</file>

<file path=xl/ctrlProps/ctrlProp71.xml><?xml version="1.0" encoding="utf-8"?>
<formControlPr xmlns="http://schemas.microsoft.com/office/spreadsheetml/2009/9/main" objectType="CheckBox" fmlaLink="$Q$14" lockText="1"/>
</file>

<file path=xl/ctrlProps/ctrlProp72.xml><?xml version="1.0" encoding="utf-8"?>
<formControlPr xmlns="http://schemas.microsoft.com/office/spreadsheetml/2009/9/main" objectType="CheckBox" fmlaLink="$O$7" lockText="1"/>
</file>

<file path=xl/ctrlProps/ctrlProp73.xml><?xml version="1.0" encoding="utf-8"?>
<formControlPr xmlns="http://schemas.microsoft.com/office/spreadsheetml/2009/9/main" objectType="CheckBox" fmlaLink="$Q$7" lockText="1"/>
</file>

<file path=xl/ctrlProps/ctrlProp74.xml><?xml version="1.0" encoding="utf-8"?>
<formControlPr xmlns="http://schemas.microsoft.com/office/spreadsheetml/2009/9/main" objectType="CheckBox" fmlaLink="$O$67" lockText="1"/>
</file>

<file path=xl/ctrlProps/ctrlProp75.xml><?xml version="1.0" encoding="utf-8"?>
<formControlPr xmlns="http://schemas.microsoft.com/office/spreadsheetml/2009/9/main" objectType="CheckBox" fmlaLink="$Q$67" lockText="1"/>
</file>

<file path=xl/ctrlProps/ctrlProp76.xml><?xml version="1.0" encoding="utf-8"?>
<formControlPr xmlns="http://schemas.microsoft.com/office/spreadsheetml/2009/9/main" objectType="CheckBox" fmlaLink="$O$121" lockText="1"/>
</file>

<file path=xl/ctrlProps/ctrlProp77.xml><?xml version="1.0" encoding="utf-8"?>
<formControlPr xmlns="http://schemas.microsoft.com/office/spreadsheetml/2009/9/main" objectType="CheckBox" fmlaLink="$Q$121" lockText="1"/>
</file>

<file path=xl/ctrlProps/ctrlProp78.xml><?xml version="1.0" encoding="utf-8"?>
<formControlPr xmlns="http://schemas.microsoft.com/office/spreadsheetml/2009/9/main" objectType="CheckBox" fmlaLink="$O$115" lockText="1"/>
</file>

<file path=xl/ctrlProps/ctrlProp79.xml><?xml version="1.0" encoding="utf-8"?>
<formControlPr xmlns="http://schemas.microsoft.com/office/spreadsheetml/2009/9/main" objectType="CheckBox" fmlaLink="$Q$115" lockText="1"/>
</file>

<file path=xl/ctrlProps/ctrlProp8.xml><?xml version="1.0" encoding="utf-8"?>
<formControlPr xmlns="http://schemas.microsoft.com/office/spreadsheetml/2009/9/main" objectType="CheckBox" fmlaLink="$O$23" lockText="1"/>
</file>

<file path=xl/ctrlProps/ctrlProp80.xml><?xml version="1.0" encoding="utf-8"?>
<formControlPr xmlns="http://schemas.microsoft.com/office/spreadsheetml/2009/9/main" objectType="CheckBox" checked="Checked" fmlaLink="$O$6" lockText="1"/>
</file>

<file path=xl/ctrlProps/ctrlProp81.xml><?xml version="1.0" encoding="utf-8"?>
<formControlPr xmlns="http://schemas.microsoft.com/office/spreadsheetml/2009/9/main" objectType="CheckBox" checked="Checked" fmlaLink="$Q$6" lockText="1"/>
</file>

<file path=xl/ctrlProps/ctrlProp9.xml><?xml version="1.0" encoding="utf-8"?>
<formControlPr xmlns="http://schemas.microsoft.com/office/spreadsheetml/2009/9/main" objectType="CheckBox" fmlaLink="$O$6" lockText="1"/>
</file>

<file path=xl/drawings/_rels/drawing1.xml.rels><?xml version="1.0" encoding="UTF-8" standalone="yes"?>
<Relationships xmlns="http://schemas.openxmlformats.org/package/2006/relationships"><Relationship Id="rId3" Type="http://schemas.openxmlformats.org/officeDocument/2006/relationships/hyperlink" Target="#'Dallas Lock 8.0-&#1050;'!A1"/><Relationship Id="rId7" Type="http://schemas.openxmlformats.org/officeDocument/2006/relationships/image" Target="../media/image2.jpg"/><Relationship Id="rId2" Type="http://schemas.openxmlformats.org/officeDocument/2006/relationships/hyperlink" Target="#'&#1057;&#1047;&#1048; &#1042;&#1048; Dallas Lock'!A1"/><Relationship Id="rId1" Type="http://schemas.openxmlformats.org/officeDocument/2006/relationships/image" Target="../media/image1.png"/><Relationship Id="rId6" Type="http://schemas.openxmlformats.org/officeDocument/2006/relationships/hyperlink" Target="#'&#1057;&#1044;&#1047; Dallas Lock'!A1"/><Relationship Id="rId5" Type="http://schemas.openxmlformats.org/officeDocument/2006/relationships/hyperlink" Target="#'Dallas Lock Linux'!A1"/><Relationship Id="rId4" Type="http://schemas.openxmlformats.org/officeDocument/2006/relationships/hyperlink" Target="#'Dallas Lock 8.0-&#1057;'!A1"/></Relationships>
</file>

<file path=xl/drawings/_rels/drawing10.xml.rels><?xml version="1.0" encoding="UTF-8" standalone="yes"?>
<Relationships xmlns="http://schemas.openxmlformats.org/package/2006/relationships"><Relationship Id="rId3" Type="http://schemas.openxmlformats.org/officeDocument/2006/relationships/image" Target="../media/image15.png"/><Relationship Id="rId7" Type="http://schemas.openxmlformats.org/officeDocument/2006/relationships/image" Target="../media/image9.png"/><Relationship Id="rId2" Type="http://schemas.openxmlformats.org/officeDocument/2006/relationships/image" Target="../media/image4.png"/><Relationship Id="rId1" Type="http://schemas.openxmlformats.org/officeDocument/2006/relationships/hyperlink" Target="#'&#1051;&#1080;&#1085;&#1077;&#1081;&#1082;&#1072; Dallas Lock'!A1"/><Relationship Id="rId6" Type="http://schemas.openxmlformats.org/officeDocument/2006/relationships/image" Target="../media/image16.png"/><Relationship Id="rId5" Type="http://schemas.openxmlformats.org/officeDocument/2006/relationships/hyperlink" Target="#'&#1054;&#1087;&#1080;&#1089;&#1072;&#1085;&#1080;&#1077; &#1087;&#1088;&#1086;&#1076;&#1091;&#1082;&#1090;&#1086;&#1074;'!A96"/><Relationship Id="rId4" Type="http://schemas.openxmlformats.org/officeDocument/2006/relationships/image" Target="../media/image3.png"/></Relationships>
</file>

<file path=xl/drawings/_rels/drawing1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1051;&#1080;&#1085;&#1077;&#1081;&#1082;&#1072; Dallas Lock'!A1"/><Relationship Id="rId1" Type="http://schemas.openxmlformats.org/officeDocument/2006/relationships/image" Target="../media/image13.png"/><Relationship Id="rId6" Type="http://schemas.openxmlformats.org/officeDocument/2006/relationships/image" Target="../media/image18.png"/><Relationship Id="rId5" Type="http://schemas.openxmlformats.org/officeDocument/2006/relationships/image" Target="../media/image17.png"/><Relationship Id="rId4" Type="http://schemas.openxmlformats.org/officeDocument/2006/relationships/image" Target="../media/image6.png"/></Relationships>
</file>

<file path=xl/drawings/_rels/drawing12.xml.rels><?xml version="1.0" encoding="UTF-8" standalone="yes"?>
<Relationships xmlns="http://schemas.openxmlformats.org/package/2006/relationships"><Relationship Id="rId3" Type="http://schemas.openxmlformats.org/officeDocument/2006/relationships/hyperlink" Target="#'&#1054;&#1087;&#1080;&#1089;&#1072;&#1085;&#1080;&#1077; &#1087;&#1088;&#1086;&#1076;&#1091;&#1082;&#1090;&#1086;&#1074;'!A24"/><Relationship Id="rId2" Type="http://schemas.openxmlformats.org/officeDocument/2006/relationships/image" Target="../media/image3.png"/><Relationship Id="rId1" Type="http://schemas.openxmlformats.org/officeDocument/2006/relationships/image" Target="../media/image17.png"/><Relationship Id="rId6" Type="http://schemas.openxmlformats.org/officeDocument/2006/relationships/image" Target="../media/image6.png"/><Relationship Id="rId5" Type="http://schemas.openxmlformats.org/officeDocument/2006/relationships/image" Target="../media/image4.png"/><Relationship Id="rId4" Type="http://schemas.openxmlformats.org/officeDocument/2006/relationships/hyperlink" Target="#'&#1051;&#1080;&#1085;&#1077;&#1081;&#1082;&#1072; Dallas Lock'!A1"/></Relationships>
</file>

<file path=xl/drawings/_rels/drawing13.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4.png"/><Relationship Id="rId1" Type="http://schemas.openxmlformats.org/officeDocument/2006/relationships/hyperlink" Target="#'&#1051;&#1080;&#1085;&#1077;&#1081;&#1082;&#1072; Dallas Lock'!A1"/></Relationships>
</file>

<file path=xl/drawings/_rels/drawing14.xml.rels><?xml version="1.0" encoding="UTF-8" standalone="yes"?>
<Relationships xmlns="http://schemas.openxmlformats.org/package/2006/relationships"><Relationship Id="rId13" Type="http://schemas.microsoft.com/office/2007/relationships/hdphoto" Target="../media/hdphoto1.wdp"/><Relationship Id="rId18" Type="http://schemas.openxmlformats.org/officeDocument/2006/relationships/image" Target="../media/image27.png"/><Relationship Id="rId26" Type="http://schemas.openxmlformats.org/officeDocument/2006/relationships/image" Target="../media/image33.png"/><Relationship Id="rId39" Type="http://schemas.openxmlformats.org/officeDocument/2006/relationships/image" Target="../media/image43.png"/><Relationship Id="rId21" Type="http://schemas.openxmlformats.org/officeDocument/2006/relationships/image" Target="../media/image30.png"/><Relationship Id="rId34" Type="http://schemas.openxmlformats.org/officeDocument/2006/relationships/image" Target="../media/image39.png"/><Relationship Id="rId42" Type="http://schemas.openxmlformats.org/officeDocument/2006/relationships/image" Target="../media/image46.png"/><Relationship Id="rId47" Type="http://schemas.openxmlformats.org/officeDocument/2006/relationships/image" Target="../media/image50.png"/><Relationship Id="rId50" Type="http://schemas.openxmlformats.org/officeDocument/2006/relationships/image" Target="../media/image53.png"/><Relationship Id="rId55" Type="http://schemas.openxmlformats.org/officeDocument/2006/relationships/image" Target="../media/image57.png"/><Relationship Id="rId7" Type="http://schemas.openxmlformats.org/officeDocument/2006/relationships/hyperlink" Target="#'Dallas Lock 8.0-&#1057;'!A1"/><Relationship Id="rId2" Type="http://schemas.openxmlformats.org/officeDocument/2006/relationships/hyperlink" Target="#'WAF Dallas Lock'!A1"/><Relationship Id="rId16" Type="http://schemas.openxmlformats.org/officeDocument/2006/relationships/image" Target="../media/image25.png"/><Relationship Id="rId29" Type="http://schemas.openxmlformats.org/officeDocument/2006/relationships/image" Target="../media/image35.png"/><Relationship Id="rId11" Type="http://schemas.openxmlformats.org/officeDocument/2006/relationships/image" Target="../media/image21.png"/><Relationship Id="rId24" Type="http://schemas.openxmlformats.org/officeDocument/2006/relationships/image" Target="../media/image33.svg"/><Relationship Id="rId32" Type="http://schemas.openxmlformats.org/officeDocument/2006/relationships/image" Target="../media/image38.png"/><Relationship Id="rId37" Type="http://schemas.openxmlformats.org/officeDocument/2006/relationships/image" Target="../media/image42.png"/><Relationship Id="rId40" Type="http://schemas.openxmlformats.org/officeDocument/2006/relationships/image" Target="../media/image44.png"/><Relationship Id="rId45" Type="http://schemas.openxmlformats.org/officeDocument/2006/relationships/image" Target="../media/image48.png"/><Relationship Id="rId53" Type="http://schemas.openxmlformats.org/officeDocument/2006/relationships/image" Target="../media/image55.png"/><Relationship Id="rId58" Type="http://schemas.openxmlformats.org/officeDocument/2006/relationships/image" Target="../media/image60.png"/><Relationship Id="rId5" Type="http://schemas.openxmlformats.org/officeDocument/2006/relationships/hyperlink" Target="#'Dallas Lock Linux'!A1"/><Relationship Id="rId19" Type="http://schemas.openxmlformats.org/officeDocument/2006/relationships/image" Target="../media/image28.png"/><Relationship Id="rId4" Type="http://schemas.openxmlformats.org/officeDocument/2006/relationships/hyperlink" Target="#'&#1057;&#1044;&#1047; Dallas Lock'!A1"/><Relationship Id="rId9" Type="http://schemas.openxmlformats.org/officeDocument/2006/relationships/image" Target="../media/image19.png"/><Relationship Id="rId14" Type="http://schemas.openxmlformats.org/officeDocument/2006/relationships/image" Target="../media/image23.jpeg"/><Relationship Id="rId22" Type="http://schemas.openxmlformats.org/officeDocument/2006/relationships/image" Target="../media/image31.svg"/><Relationship Id="rId27" Type="http://schemas.openxmlformats.org/officeDocument/2006/relationships/image" Target="../media/image34.png"/><Relationship Id="rId30" Type="http://schemas.openxmlformats.org/officeDocument/2006/relationships/image" Target="../media/image36.png"/><Relationship Id="rId35" Type="http://schemas.openxmlformats.org/officeDocument/2006/relationships/image" Target="../media/image40.png"/><Relationship Id="rId43" Type="http://schemas.openxmlformats.org/officeDocument/2006/relationships/image" Target="../media/image47.png"/><Relationship Id="rId48" Type="http://schemas.openxmlformats.org/officeDocument/2006/relationships/image" Target="../media/image51.png"/><Relationship Id="rId56" Type="http://schemas.openxmlformats.org/officeDocument/2006/relationships/image" Target="../media/image58.png"/><Relationship Id="rId8" Type="http://schemas.openxmlformats.org/officeDocument/2006/relationships/hyperlink" Target="#'&#1045;&#1062;&#1059; Dallas Lock'!A1"/><Relationship Id="rId51" Type="http://schemas.microsoft.com/office/2007/relationships/hdphoto" Target="../media/hdphoto6.wdp"/><Relationship Id="rId3" Type="http://schemas.openxmlformats.org/officeDocument/2006/relationships/image" Target="../media/image3.png"/><Relationship Id="rId12" Type="http://schemas.openxmlformats.org/officeDocument/2006/relationships/image" Target="../media/image22.png"/><Relationship Id="rId17" Type="http://schemas.openxmlformats.org/officeDocument/2006/relationships/image" Target="../media/image26.png"/><Relationship Id="rId25" Type="http://schemas.openxmlformats.org/officeDocument/2006/relationships/image" Target="../media/image32.png"/><Relationship Id="rId33" Type="http://schemas.microsoft.com/office/2007/relationships/hdphoto" Target="../media/hdphoto3.wdp"/><Relationship Id="rId38" Type="http://schemas.microsoft.com/office/2007/relationships/hdphoto" Target="../media/hdphoto4.wdp"/><Relationship Id="rId46" Type="http://schemas.openxmlformats.org/officeDocument/2006/relationships/image" Target="../media/image49.png"/><Relationship Id="rId59" Type="http://schemas.openxmlformats.org/officeDocument/2006/relationships/image" Target="../media/image61.png"/><Relationship Id="rId20" Type="http://schemas.openxmlformats.org/officeDocument/2006/relationships/image" Target="../media/image29.png"/><Relationship Id="rId41" Type="http://schemas.openxmlformats.org/officeDocument/2006/relationships/image" Target="../media/image45.png"/><Relationship Id="rId54" Type="http://schemas.openxmlformats.org/officeDocument/2006/relationships/image" Target="../media/image56.png"/><Relationship Id="rId1" Type="http://schemas.openxmlformats.org/officeDocument/2006/relationships/hyperlink" Target="#'&#1057;&#1047;&#1048; &#1042;&#1048; Dallas Lock'!A1"/><Relationship Id="rId6" Type="http://schemas.openxmlformats.org/officeDocument/2006/relationships/hyperlink" Target="#'Dallas Lock 8.0-&#1050;'!A1"/><Relationship Id="rId15" Type="http://schemas.openxmlformats.org/officeDocument/2006/relationships/image" Target="../media/image24.png"/><Relationship Id="rId23" Type="http://schemas.openxmlformats.org/officeDocument/2006/relationships/image" Target="../media/image31.png"/><Relationship Id="rId28" Type="http://schemas.microsoft.com/office/2007/relationships/hdphoto" Target="../media/hdphoto2.wdp"/><Relationship Id="rId36" Type="http://schemas.openxmlformats.org/officeDocument/2006/relationships/image" Target="../media/image41.png"/><Relationship Id="rId49" Type="http://schemas.openxmlformats.org/officeDocument/2006/relationships/image" Target="../media/image52.png"/><Relationship Id="rId57" Type="http://schemas.openxmlformats.org/officeDocument/2006/relationships/image" Target="../media/image59.png"/><Relationship Id="rId10" Type="http://schemas.openxmlformats.org/officeDocument/2006/relationships/image" Target="../media/image20.png"/><Relationship Id="rId31" Type="http://schemas.openxmlformats.org/officeDocument/2006/relationships/image" Target="../media/image37.png"/><Relationship Id="rId44" Type="http://schemas.microsoft.com/office/2007/relationships/hdphoto" Target="../media/hdphoto5.wdp"/><Relationship Id="rId52" Type="http://schemas.openxmlformats.org/officeDocument/2006/relationships/image" Target="../media/image54.png"/></Relationships>
</file>

<file path=xl/drawings/_rels/drawing2.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hyperlink" Target="#'&#1051;&#1080;&#1085;&#1077;&#1081;&#1082;&#1072; Dallas Lock'!A1"/><Relationship Id="rId7" Type="http://schemas.openxmlformats.org/officeDocument/2006/relationships/image" Target="../media/image7.png"/><Relationship Id="rId2" Type="http://schemas.openxmlformats.org/officeDocument/2006/relationships/image" Target="../media/image3.png"/><Relationship Id="rId1" Type="http://schemas.openxmlformats.org/officeDocument/2006/relationships/hyperlink" Target="#'&#1054;&#1087;&#1080;&#1089;&#1072;&#1085;&#1080;&#1077; &#1087;&#1088;&#1086;&#1076;&#1091;&#1082;&#1090;&#1086;&#1074;'!A1"/><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 Id="rId9" Type="http://schemas.openxmlformats.org/officeDocument/2006/relationships/image" Target="../media/image9.png"/></Relationships>
</file>

<file path=xl/drawings/_rels/drawing3.xml.rels><?xml version="1.0" encoding="UTF-8" standalone="yes"?>
<Relationships xmlns="http://schemas.openxmlformats.org/package/2006/relationships"><Relationship Id="rId8" Type="http://schemas.openxmlformats.org/officeDocument/2006/relationships/image" Target="../media/image7.png"/><Relationship Id="rId3" Type="http://schemas.openxmlformats.org/officeDocument/2006/relationships/hyperlink" Target="#'&#1054;&#1087;&#1080;&#1089;&#1072;&#1085;&#1080;&#1077; &#1087;&#1088;&#1086;&#1076;&#1091;&#1082;&#1090;&#1086;&#1074;'!A6"/><Relationship Id="rId7" Type="http://schemas.openxmlformats.org/officeDocument/2006/relationships/hyperlink" Target="#'&#1045;&#1062;&#1059; Dallas Lock'!A1"/><Relationship Id="rId2" Type="http://schemas.openxmlformats.org/officeDocument/2006/relationships/image" Target="../media/image3.png"/><Relationship Id="rId1" Type="http://schemas.openxmlformats.org/officeDocument/2006/relationships/image" Target="../media/image10.png"/><Relationship Id="rId6" Type="http://schemas.openxmlformats.org/officeDocument/2006/relationships/image" Target="../media/image6.png"/><Relationship Id="rId5" Type="http://schemas.openxmlformats.org/officeDocument/2006/relationships/image" Target="../media/image4.png"/><Relationship Id="rId4" Type="http://schemas.openxmlformats.org/officeDocument/2006/relationships/hyperlink" Target="#'&#1051;&#1080;&#1085;&#1077;&#1081;&#1082;&#1072; Dallas Lock'!A1"/><Relationship Id="rId9" Type="http://schemas.openxmlformats.org/officeDocument/2006/relationships/image" Target="../media/image9.png"/></Relationships>
</file>

<file path=xl/drawings/_rels/drawing4.xml.rels><?xml version="1.0" encoding="UTF-8" standalone="yes"?>
<Relationships xmlns="http://schemas.openxmlformats.org/package/2006/relationships"><Relationship Id="rId8" Type="http://schemas.openxmlformats.org/officeDocument/2006/relationships/image" Target="../media/image11.png"/><Relationship Id="rId3" Type="http://schemas.openxmlformats.org/officeDocument/2006/relationships/hyperlink" Target="#'&#1051;&#1080;&#1085;&#1077;&#1081;&#1082;&#1072; Dallas Lock'!A1"/><Relationship Id="rId7" Type="http://schemas.openxmlformats.org/officeDocument/2006/relationships/image" Target="../media/image7.png"/><Relationship Id="rId2" Type="http://schemas.openxmlformats.org/officeDocument/2006/relationships/hyperlink" Target="#'&#1054;&#1087;&#1080;&#1089;&#1072;&#1085;&#1080;&#1077; &#1087;&#1088;&#1086;&#1076;&#1091;&#1082;&#1090;&#1086;&#1074;'!A9"/><Relationship Id="rId1" Type="http://schemas.openxmlformats.org/officeDocument/2006/relationships/image" Target="../media/image3.png"/><Relationship Id="rId6" Type="http://schemas.openxmlformats.org/officeDocument/2006/relationships/hyperlink" Target="#'&#1045;&#1062;&#1059; Dallas Lock'!A1"/><Relationship Id="rId5" Type="http://schemas.openxmlformats.org/officeDocument/2006/relationships/image" Target="../media/image6.png"/><Relationship Id="rId4" Type="http://schemas.openxmlformats.org/officeDocument/2006/relationships/image" Target="../media/image4.png"/><Relationship Id="rId9" Type="http://schemas.openxmlformats.org/officeDocument/2006/relationships/image" Target="../media/image9.png"/></Relationships>
</file>

<file path=xl/drawings/_rels/drawing5.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hyperlink" Target="#'&#1045;&#1062;&#1059; Dallas Lock'!A1"/><Relationship Id="rId7" Type="http://schemas.openxmlformats.org/officeDocument/2006/relationships/image" Target="../media/image11.png"/><Relationship Id="rId2" Type="http://schemas.openxmlformats.org/officeDocument/2006/relationships/image" Target="../media/image4.png"/><Relationship Id="rId1" Type="http://schemas.openxmlformats.org/officeDocument/2006/relationships/hyperlink" Target="#'&#1051;&#1080;&#1085;&#1077;&#1081;&#1082;&#1072; Dallas Lock'!A1"/><Relationship Id="rId6" Type="http://schemas.openxmlformats.org/officeDocument/2006/relationships/image" Target="../media/image12.png"/><Relationship Id="rId5" Type="http://schemas.openxmlformats.org/officeDocument/2006/relationships/image" Target="../media/image7.png"/><Relationship Id="rId4" Type="http://schemas.openxmlformats.org/officeDocument/2006/relationships/image" Target="../media/image6.png"/></Relationships>
</file>

<file path=xl/drawings/_rels/drawing6.xml.rels><?xml version="1.0" encoding="UTF-8" standalone="yes"?>
<Relationships xmlns="http://schemas.openxmlformats.org/package/2006/relationships"><Relationship Id="rId8" Type="http://schemas.openxmlformats.org/officeDocument/2006/relationships/image" Target="../media/image7.png"/><Relationship Id="rId3" Type="http://schemas.openxmlformats.org/officeDocument/2006/relationships/hyperlink" Target="#'&#1054;&#1087;&#1080;&#1089;&#1072;&#1085;&#1080;&#1077; &#1087;&#1088;&#1086;&#1076;&#1091;&#1082;&#1090;&#1086;&#1074;'!A12"/><Relationship Id="rId7" Type="http://schemas.openxmlformats.org/officeDocument/2006/relationships/hyperlink" Target="#'&#1045;&#1062;&#1059; Dallas Lock'!A1"/><Relationship Id="rId2" Type="http://schemas.openxmlformats.org/officeDocument/2006/relationships/image" Target="../media/image3.png"/><Relationship Id="rId1" Type="http://schemas.openxmlformats.org/officeDocument/2006/relationships/image" Target="../media/image13.png"/><Relationship Id="rId6" Type="http://schemas.openxmlformats.org/officeDocument/2006/relationships/image" Target="../media/image6.png"/><Relationship Id="rId11" Type="http://schemas.openxmlformats.org/officeDocument/2006/relationships/image" Target="../media/image9.png"/><Relationship Id="rId5" Type="http://schemas.openxmlformats.org/officeDocument/2006/relationships/image" Target="../media/image4.png"/><Relationship Id="rId10" Type="http://schemas.openxmlformats.org/officeDocument/2006/relationships/image" Target="../media/image11.png"/><Relationship Id="rId4" Type="http://schemas.openxmlformats.org/officeDocument/2006/relationships/hyperlink" Target="#'&#1051;&#1080;&#1085;&#1077;&#1081;&#1082;&#1072; Dallas Lock'!A1"/><Relationship Id="rId9" Type="http://schemas.openxmlformats.org/officeDocument/2006/relationships/image" Target="../media/image14.png"/></Relationships>
</file>

<file path=xl/drawings/_rels/drawing7.xml.rels><?xml version="1.0" encoding="UTF-8" standalone="yes"?>
<Relationships xmlns="http://schemas.openxmlformats.org/package/2006/relationships"><Relationship Id="rId8" Type="http://schemas.openxmlformats.org/officeDocument/2006/relationships/image" Target="../media/image7.png"/><Relationship Id="rId3" Type="http://schemas.openxmlformats.org/officeDocument/2006/relationships/hyperlink" Target="#'&#1054;&#1087;&#1080;&#1089;&#1072;&#1085;&#1080;&#1077; &#1087;&#1088;&#1086;&#1076;&#1091;&#1082;&#1090;&#1086;&#1074;'!A15"/><Relationship Id="rId7" Type="http://schemas.openxmlformats.org/officeDocument/2006/relationships/hyperlink" Target="#'&#1045;&#1062;&#1059; Dallas Lock'!A1"/><Relationship Id="rId2" Type="http://schemas.openxmlformats.org/officeDocument/2006/relationships/image" Target="../media/image3.png"/><Relationship Id="rId1" Type="http://schemas.openxmlformats.org/officeDocument/2006/relationships/image" Target="../media/image13.png"/><Relationship Id="rId6" Type="http://schemas.openxmlformats.org/officeDocument/2006/relationships/image" Target="../media/image6.png"/><Relationship Id="rId11" Type="http://schemas.openxmlformats.org/officeDocument/2006/relationships/image" Target="../media/image9.png"/><Relationship Id="rId5" Type="http://schemas.openxmlformats.org/officeDocument/2006/relationships/image" Target="../media/image4.png"/><Relationship Id="rId10" Type="http://schemas.openxmlformats.org/officeDocument/2006/relationships/image" Target="../media/image11.png"/><Relationship Id="rId4" Type="http://schemas.openxmlformats.org/officeDocument/2006/relationships/hyperlink" Target="#'&#1051;&#1080;&#1085;&#1077;&#1081;&#1082;&#1072; Dallas Lock'!A1"/><Relationship Id="rId9" Type="http://schemas.openxmlformats.org/officeDocument/2006/relationships/image" Target="../media/image14.png"/></Relationships>
</file>

<file path=xl/drawings/_rels/drawing8.xml.rels><?xml version="1.0" encoding="UTF-8" standalone="yes"?>
<Relationships xmlns="http://schemas.openxmlformats.org/package/2006/relationships"><Relationship Id="rId3" Type="http://schemas.openxmlformats.org/officeDocument/2006/relationships/image" Target="../media/image6.png"/><Relationship Id="rId7" Type="http://schemas.openxmlformats.org/officeDocument/2006/relationships/image" Target="../media/image9.png"/><Relationship Id="rId2" Type="http://schemas.openxmlformats.org/officeDocument/2006/relationships/image" Target="../media/image4.png"/><Relationship Id="rId1" Type="http://schemas.openxmlformats.org/officeDocument/2006/relationships/hyperlink" Target="#'&#1051;&#1080;&#1085;&#1077;&#1081;&#1082;&#1072; Dallas Lock'!A1"/><Relationship Id="rId6" Type="http://schemas.openxmlformats.org/officeDocument/2006/relationships/image" Target="../media/image7.png"/><Relationship Id="rId5" Type="http://schemas.openxmlformats.org/officeDocument/2006/relationships/image" Target="../media/image3.png"/><Relationship Id="rId4" Type="http://schemas.openxmlformats.org/officeDocument/2006/relationships/hyperlink" Target="#'&#1054;&#1087;&#1080;&#1089;&#1072;&#1085;&#1080;&#1077; &#1087;&#1088;&#1086;&#1076;&#1091;&#1082;&#1090;&#1086;&#1074;'!A20"/></Relationships>
</file>

<file path=xl/drawings/_rels/drawing9.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4.png"/><Relationship Id="rId1" Type="http://schemas.openxmlformats.org/officeDocument/2006/relationships/hyperlink" Target="#'&#1051;&#1080;&#1085;&#1077;&#1081;&#1082;&#1072; Dallas Lock'!A1"/><Relationship Id="rId6" Type="http://schemas.openxmlformats.org/officeDocument/2006/relationships/image" Target="../media/image9.png"/><Relationship Id="rId5" Type="http://schemas.openxmlformats.org/officeDocument/2006/relationships/image" Target="../media/image7.png"/><Relationship Id="rId4" Type="http://schemas.openxmlformats.org/officeDocument/2006/relationships/hyperlink" Target="#'&#1054;&#1087;&#1080;&#1089;&#1072;&#1085;&#1080;&#1077; &#1087;&#1088;&#1086;&#1076;&#1091;&#1082;&#1090;&#1086;&#1074;'!A52"/></Relationships>
</file>

<file path=xl/drawings/drawing1.xml><?xml version="1.0" encoding="utf-8"?>
<xdr:wsDr xmlns:xdr="http://schemas.openxmlformats.org/drawingml/2006/spreadsheetDrawing" xmlns:a="http://schemas.openxmlformats.org/drawingml/2006/main">
  <xdr:twoCellAnchor>
    <xdr:from>
      <xdr:col>0</xdr:col>
      <xdr:colOff>9524</xdr:colOff>
      <xdr:row>10</xdr:row>
      <xdr:rowOff>64204</xdr:rowOff>
    </xdr:from>
    <xdr:to>
      <xdr:col>10</xdr:col>
      <xdr:colOff>15875</xdr:colOff>
      <xdr:row>17</xdr:row>
      <xdr:rowOff>83535</xdr:rowOff>
    </xdr:to>
    <xdr:sp macro="" textlink="">
      <xdr:nvSpPr>
        <xdr:cNvPr id="3" name="TextBox 2">
          <a:extLst>
            <a:ext uri="{FF2B5EF4-FFF2-40B4-BE49-F238E27FC236}">
              <a16:creationId xmlns:a16="http://schemas.microsoft.com/office/drawing/2014/main" xmlns="" id="{00000000-0008-0000-0000-000003000000}"/>
            </a:ext>
          </a:extLst>
        </xdr:cNvPr>
        <xdr:cNvSpPr txBox="1"/>
      </xdr:nvSpPr>
      <xdr:spPr>
        <a:xfrm>
          <a:off x="9524" y="1588204"/>
          <a:ext cx="12134851" cy="146395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ru-RU" sz="1100" b="0" i="0" u="none" strike="noStrike" baseline="0">
              <a:solidFill>
                <a:schemeClr val="dk1"/>
              </a:solidFill>
              <a:latin typeface="Arial" panose="020B0604020202020204" pitchFamily="34" charset="0"/>
              <a:ea typeface="+mn-ea"/>
              <a:cs typeface="Arial" panose="020B0604020202020204" pitchFamily="34" charset="0"/>
            </a:rPr>
            <a:t>Продуктовая линейка </a:t>
          </a:r>
          <a:r>
            <a:rPr lang="en-US" sz="1100" b="0" i="0" u="none" strike="noStrike" baseline="0">
              <a:solidFill>
                <a:schemeClr val="dk1"/>
              </a:solidFill>
              <a:latin typeface="Arial" panose="020B0604020202020204" pitchFamily="34" charset="0"/>
              <a:ea typeface="+mn-ea"/>
              <a:cs typeface="Arial" panose="020B0604020202020204" pitchFamily="34" charset="0"/>
            </a:rPr>
            <a:t>Dallas Lock </a:t>
          </a:r>
          <a:r>
            <a:rPr lang="ru-RU" sz="1100" b="0" i="0" u="none" strike="noStrike" baseline="0">
              <a:solidFill>
                <a:schemeClr val="dk1"/>
              </a:solidFill>
              <a:latin typeface="Arial" panose="020B0604020202020204" pitchFamily="34" charset="0"/>
              <a:ea typeface="+mn-ea"/>
              <a:cs typeface="Arial" panose="020B0604020202020204" pitchFamily="34" charset="0"/>
            </a:rPr>
            <a:t>Центра защиты информации ГК «Конфидент» – это программные и программно-аппаратные</a:t>
          </a:r>
          <a:r>
            <a:rPr lang="en-US" sz="1100" b="0" i="0" u="none" strike="noStrike" baseline="0">
              <a:solidFill>
                <a:schemeClr val="dk1"/>
              </a:solidFill>
              <a:latin typeface="Arial" panose="020B0604020202020204" pitchFamily="34" charset="0"/>
              <a:ea typeface="+mn-ea"/>
              <a:cs typeface="Arial" panose="020B0604020202020204" pitchFamily="34" charset="0"/>
            </a:rPr>
            <a:t> </a:t>
          </a:r>
          <a:r>
            <a:rPr lang="ru-RU" sz="1100" b="0" i="0" u="none" strike="noStrike" baseline="0">
              <a:solidFill>
                <a:schemeClr val="dk1"/>
              </a:solidFill>
              <a:latin typeface="Arial" panose="020B0604020202020204" pitchFamily="34" charset="0"/>
              <a:ea typeface="+mn-ea"/>
              <a:cs typeface="Arial" panose="020B0604020202020204" pitchFamily="34" charset="0"/>
            </a:rPr>
            <a:t>средства защиты информации для платформ </a:t>
          </a:r>
          <a:r>
            <a:rPr lang="en-US" sz="1100" b="0" i="0" u="none" strike="noStrike" baseline="0">
              <a:solidFill>
                <a:schemeClr val="dk1"/>
              </a:solidFill>
              <a:latin typeface="Arial" panose="020B0604020202020204" pitchFamily="34" charset="0"/>
              <a:ea typeface="+mn-ea"/>
              <a:cs typeface="Arial" panose="020B0604020202020204" pitchFamily="34" charset="0"/>
            </a:rPr>
            <a:t>Windows </a:t>
          </a:r>
          <a:r>
            <a:rPr lang="ru-RU" sz="1100" b="0" i="0" u="none" strike="noStrike" baseline="0">
              <a:solidFill>
                <a:schemeClr val="dk1"/>
              </a:solidFill>
              <a:latin typeface="Arial" panose="020B0604020202020204" pitchFamily="34" charset="0"/>
              <a:ea typeface="+mn-ea"/>
              <a:cs typeface="Arial" panose="020B0604020202020204" pitchFamily="34" charset="0"/>
            </a:rPr>
            <a:t>и </a:t>
          </a:r>
          <a:r>
            <a:rPr lang="en-US" sz="1100" b="0" i="0" u="none" strike="noStrike" baseline="0">
              <a:solidFill>
                <a:schemeClr val="dk1"/>
              </a:solidFill>
              <a:latin typeface="Arial" panose="020B0604020202020204" pitchFamily="34" charset="0"/>
              <a:ea typeface="+mn-ea"/>
              <a:cs typeface="Arial" panose="020B0604020202020204" pitchFamily="34" charset="0"/>
            </a:rPr>
            <a:t>Linux, </a:t>
          </a:r>
          <a:r>
            <a:rPr lang="ru-RU" sz="1100" b="0" i="0" u="none" strike="noStrike" baseline="0">
              <a:solidFill>
                <a:schemeClr val="dk1"/>
              </a:solidFill>
              <a:latin typeface="Arial" panose="020B0604020202020204" pitchFamily="34" charset="0"/>
              <a:ea typeface="+mn-ea"/>
              <a:cs typeface="Arial" panose="020B0604020202020204" pitchFamily="34" charset="0"/>
            </a:rPr>
            <a:t>которые предназначены для защиты от несанкционированного</a:t>
          </a:r>
          <a:r>
            <a:rPr lang="en-US" sz="1100" b="0" i="0" u="none" strike="noStrike" baseline="0">
              <a:solidFill>
                <a:schemeClr val="dk1"/>
              </a:solidFill>
              <a:latin typeface="Arial" panose="020B0604020202020204" pitchFamily="34" charset="0"/>
              <a:ea typeface="+mn-ea"/>
              <a:cs typeface="Arial" panose="020B0604020202020204" pitchFamily="34" charset="0"/>
            </a:rPr>
            <a:t> </a:t>
          </a:r>
          <a:r>
            <a:rPr lang="ru-RU" sz="1100" b="0" i="0" u="none" strike="noStrike" baseline="0">
              <a:solidFill>
                <a:schemeClr val="dk1"/>
              </a:solidFill>
              <a:latin typeface="Arial" panose="020B0604020202020204" pitchFamily="34" charset="0"/>
              <a:ea typeface="+mn-ea"/>
              <a:cs typeface="Arial" panose="020B0604020202020204" pitchFamily="34" charset="0"/>
            </a:rPr>
            <a:t>доступа, межсетевого экранирования, обнаружения и предотвращения вторжений, доверенной загрузки, защиты виртуализованных инфраструктур. Решения компании востребованы заказчиками – в России реализуется более 6500 проектов в год с использованием продуктов </a:t>
          </a:r>
          <a:r>
            <a:rPr lang="en-US" sz="1100" b="0" i="0" u="none" strike="noStrike" baseline="0">
              <a:solidFill>
                <a:schemeClr val="dk1"/>
              </a:solidFill>
              <a:latin typeface="Arial" panose="020B0604020202020204" pitchFamily="34" charset="0"/>
              <a:ea typeface="+mn-ea"/>
              <a:cs typeface="Arial" panose="020B0604020202020204" pitchFamily="34" charset="0"/>
            </a:rPr>
            <a:t>Dallas Lock. </a:t>
          </a:r>
          <a:r>
            <a:rPr lang="ru-RU" sz="1100" b="0" i="0" u="none" strike="noStrike" baseline="0">
              <a:solidFill>
                <a:schemeClr val="dk1"/>
              </a:solidFill>
              <a:latin typeface="Arial" panose="020B0604020202020204" pitchFamily="34" charset="0"/>
              <a:ea typeface="+mn-ea"/>
              <a:cs typeface="Arial" panose="020B0604020202020204" pitchFamily="34" charset="0"/>
            </a:rPr>
            <a:t>Продукты </a:t>
          </a:r>
          <a:r>
            <a:rPr lang="en-US" sz="1100" b="0" i="0" u="none" strike="noStrike" baseline="0">
              <a:solidFill>
                <a:schemeClr val="dk1"/>
              </a:solidFill>
              <a:latin typeface="Arial" panose="020B0604020202020204" pitchFamily="34" charset="0"/>
              <a:ea typeface="+mn-ea"/>
              <a:cs typeface="Arial" panose="020B0604020202020204" pitchFamily="34" charset="0"/>
            </a:rPr>
            <a:t>Dallas Lock </a:t>
          </a:r>
          <a:r>
            <a:rPr lang="ru-RU" sz="1100" b="0" i="0" u="none" strike="noStrike" baseline="0">
              <a:solidFill>
                <a:schemeClr val="dk1"/>
              </a:solidFill>
              <a:latin typeface="Arial" panose="020B0604020202020204" pitchFamily="34" charset="0"/>
              <a:ea typeface="+mn-ea"/>
              <a:cs typeface="Arial" panose="020B0604020202020204" pitchFamily="34" charset="0"/>
            </a:rPr>
            <a:t>позволяют нейтрализовать целый ряд угроз ИБ, значительно снижают</a:t>
          </a:r>
          <a:r>
            <a:rPr lang="en-US" sz="1100" b="0" i="0" u="none" strike="noStrike" baseline="0">
              <a:solidFill>
                <a:schemeClr val="dk1"/>
              </a:solidFill>
              <a:latin typeface="Arial" panose="020B0604020202020204" pitchFamily="34" charset="0"/>
              <a:ea typeface="+mn-ea"/>
              <a:cs typeface="Arial" panose="020B0604020202020204" pitchFamily="34" charset="0"/>
            </a:rPr>
            <a:t> </a:t>
          </a:r>
          <a:r>
            <a:rPr lang="ru-RU" sz="1100" b="0" i="0" u="none" strike="noStrike" baseline="0">
              <a:solidFill>
                <a:schemeClr val="dk1"/>
              </a:solidFill>
              <a:latin typeface="Arial" panose="020B0604020202020204" pitchFamily="34" charset="0"/>
              <a:ea typeface="+mn-ea"/>
              <a:cs typeface="Arial" panose="020B0604020202020204" pitchFamily="34" charset="0"/>
            </a:rPr>
            <a:t>риски использования общепринятых ИТ-решений в информационных инфраструктурах и упрощают управление информационной безопасностью за счет взаимной интеграции, а также за счет современных инструментов централизованного управления.</a:t>
          </a:r>
          <a:endParaRPr lang="ru-RU" sz="1800">
            <a:latin typeface="Arial" panose="020B0604020202020204" pitchFamily="34" charset="0"/>
            <a:cs typeface="Arial" panose="020B0604020202020204" pitchFamily="34" charset="0"/>
          </a:endParaRPr>
        </a:p>
      </xdr:txBody>
    </xdr:sp>
    <xdr:clientData/>
  </xdr:twoCellAnchor>
  <xdr:twoCellAnchor editAs="oneCell">
    <xdr:from>
      <xdr:col>0</xdr:col>
      <xdr:colOff>0</xdr:colOff>
      <xdr:row>1</xdr:row>
      <xdr:rowOff>1165412</xdr:rowOff>
    </xdr:from>
    <xdr:to>
      <xdr:col>10</xdr:col>
      <xdr:colOff>15875</xdr:colOff>
      <xdr:row>5</xdr:row>
      <xdr:rowOff>105335</xdr:rowOff>
    </xdr:to>
    <xdr:pic>
      <xdr:nvPicPr>
        <xdr:cNvPr id="2" name="Рисунок 1">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a:stretch>
          <a:fillRect/>
        </a:stretch>
      </xdr:blipFill>
      <xdr:spPr>
        <a:xfrm>
          <a:off x="0" y="1176618"/>
          <a:ext cx="12185463" cy="1315570"/>
        </a:xfrm>
        <a:prstGeom prst="rect">
          <a:avLst/>
        </a:prstGeom>
      </xdr:spPr>
    </xdr:pic>
    <xdr:clientData/>
  </xdr:twoCellAnchor>
  <xdr:twoCellAnchor>
    <xdr:from>
      <xdr:col>6</xdr:col>
      <xdr:colOff>328333</xdr:colOff>
      <xdr:row>44</xdr:row>
      <xdr:rowOff>45905</xdr:rowOff>
    </xdr:from>
    <xdr:to>
      <xdr:col>8</xdr:col>
      <xdr:colOff>509308</xdr:colOff>
      <xdr:row>46</xdr:row>
      <xdr:rowOff>203068</xdr:rowOff>
    </xdr:to>
    <xdr:sp macro="" textlink="">
      <xdr:nvSpPr>
        <xdr:cNvPr id="13" name="Прямоугольник 12">
          <a:hlinkClick xmlns:r="http://schemas.openxmlformats.org/officeDocument/2006/relationships" r:id="rId2"/>
          <a:extLst>
            <a:ext uri="{FF2B5EF4-FFF2-40B4-BE49-F238E27FC236}">
              <a16:creationId xmlns:a16="http://schemas.microsoft.com/office/drawing/2014/main" xmlns="" id="{00000000-0008-0000-0000-00000D000000}"/>
            </a:ext>
          </a:extLst>
        </xdr:cNvPr>
        <xdr:cNvSpPr/>
      </xdr:nvSpPr>
      <xdr:spPr>
        <a:xfrm>
          <a:off x="9674039" y="8853729"/>
          <a:ext cx="1615328" cy="58298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1</xdr:col>
      <xdr:colOff>2554382</xdr:colOff>
      <xdr:row>44</xdr:row>
      <xdr:rowOff>45905</xdr:rowOff>
    </xdr:from>
    <xdr:to>
      <xdr:col>1</xdr:col>
      <xdr:colOff>4168029</xdr:colOff>
      <xdr:row>46</xdr:row>
      <xdr:rowOff>203068</xdr:rowOff>
    </xdr:to>
    <xdr:sp macro="" textlink="">
      <xdr:nvSpPr>
        <xdr:cNvPr id="10" name="Прямоугольник 9">
          <a:hlinkClick xmlns:r="http://schemas.openxmlformats.org/officeDocument/2006/relationships" r:id="rId3"/>
          <a:extLst>
            <a:ext uri="{FF2B5EF4-FFF2-40B4-BE49-F238E27FC236}">
              <a16:creationId xmlns:a16="http://schemas.microsoft.com/office/drawing/2014/main" xmlns="" id="{00000000-0008-0000-0000-00000A000000}"/>
            </a:ext>
          </a:extLst>
        </xdr:cNvPr>
        <xdr:cNvSpPr/>
      </xdr:nvSpPr>
      <xdr:spPr>
        <a:xfrm>
          <a:off x="4369735" y="8853729"/>
          <a:ext cx="1613647" cy="58298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1</xdr:col>
      <xdr:colOff>4329954</xdr:colOff>
      <xdr:row>44</xdr:row>
      <xdr:rowOff>68317</xdr:rowOff>
    </xdr:from>
    <xdr:to>
      <xdr:col>3</xdr:col>
      <xdr:colOff>566459</xdr:colOff>
      <xdr:row>47</xdr:row>
      <xdr:rowOff>12568</xdr:rowOff>
    </xdr:to>
    <xdr:sp macro="" textlink="">
      <xdr:nvSpPr>
        <xdr:cNvPr id="14" name="Прямоугольник 13">
          <a:hlinkClick xmlns:r="http://schemas.openxmlformats.org/officeDocument/2006/relationships" r:id="rId4"/>
          <a:extLst>
            <a:ext uri="{FF2B5EF4-FFF2-40B4-BE49-F238E27FC236}">
              <a16:creationId xmlns:a16="http://schemas.microsoft.com/office/drawing/2014/main" xmlns="" id="{00000000-0008-0000-0000-00000E000000}"/>
            </a:ext>
          </a:extLst>
        </xdr:cNvPr>
        <xdr:cNvSpPr/>
      </xdr:nvSpPr>
      <xdr:spPr>
        <a:xfrm>
          <a:off x="6145307" y="8876141"/>
          <a:ext cx="1615328" cy="58298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1</xdr:col>
      <xdr:colOff>855009</xdr:colOff>
      <xdr:row>44</xdr:row>
      <xdr:rowOff>45905</xdr:rowOff>
    </xdr:from>
    <xdr:to>
      <xdr:col>1</xdr:col>
      <xdr:colOff>2464734</xdr:colOff>
      <xdr:row>46</xdr:row>
      <xdr:rowOff>203068</xdr:rowOff>
    </xdr:to>
    <xdr:sp macro="" textlink="">
      <xdr:nvSpPr>
        <xdr:cNvPr id="15" name="Прямоугольник 14">
          <a:hlinkClick xmlns:r="http://schemas.openxmlformats.org/officeDocument/2006/relationships" r:id="rId5"/>
          <a:extLst>
            <a:ext uri="{FF2B5EF4-FFF2-40B4-BE49-F238E27FC236}">
              <a16:creationId xmlns:a16="http://schemas.microsoft.com/office/drawing/2014/main" xmlns="" id="{00000000-0008-0000-0000-00000F000000}"/>
            </a:ext>
          </a:extLst>
        </xdr:cNvPr>
        <xdr:cNvSpPr/>
      </xdr:nvSpPr>
      <xdr:spPr>
        <a:xfrm>
          <a:off x="2670362" y="8853729"/>
          <a:ext cx="1609725" cy="58298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4</xdr:col>
      <xdr:colOff>15968</xdr:colOff>
      <xdr:row>44</xdr:row>
      <xdr:rowOff>68317</xdr:rowOff>
    </xdr:from>
    <xdr:to>
      <xdr:col>6</xdr:col>
      <xdr:colOff>196943</xdr:colOff>
      <xdr:row>47</xdr:row>
      <xdr:rowOff>12568</xdr:rowOff>
    </xdr:to>
    <xdr:sp macro="" textlink="">
      <xdr:nvSpPr>
        <xdr:cNvPr id="16" name="Прямоугольник 15">
          <a:hlinkClick xmlns:r="http://schemas.openxmlformats.org/officeDocument/2006/relationships" r:id="rId6"/>
          <a:extLst>
            <a:ext uri="{FF2B5EF4-FFF2-40B4-BE49-F238E27FC236}">
              <a16:creationId xmlns:a16="http://schemas.microsoft.com/office/drawing/2014/main" xmlns="" id="{00000000-0008-0000-0000-000010000000}"/>
            </a:ext>
          </a:extLst>
        </xdr:cNvPr>
        <xdr:cNvSpPr/>
      </xdr:nvSpPr>
      <xdr:spPr>
        <a:xfrm>
          <a:off x="7927321" y="8876141"/>
          <a:ext cx="1615328" cy="58298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editAs="oneCell">
    <xdr:from>
      <xdr:col>0</xdr:col>
      <xdr:colOff>138314</xdr:colOff>
      <xdr:row>15</xdr:row>
      <xdr:rowOff>130417</xdr:rowOff>
    </xdr:from>
    <xdr:to>
      <xdr:col>10</xdr:col>
      <xdr:colOff>1905</xdr:colOff>
      <xdr:row>55</xdr:row>
      <xdr:rowOff>166940</xdr:rowOff>
    </xdr:to>
    <xdr:pic>
      <xdr:nvPicPr>
        <xdr:cNvPr id="7" name="Рисунок 6">
          <a:extLst>
            <a:ext uri="{FF2B5EF4-FFF2-40B4-BE49-F238E27FC236}">
              <a16:creationId xmlns:a16="http://schemas.microsoft.com/office/drawing/2014/main" xmlns="" id="{00000000-0008-0000-0000-000007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xdr:blipFill>
      <xdr:spPr>
        <a:xfrm>
          <a:off x="138314" y="2763799"/>
          <a:ext cx="12033179" cy="8552994"/>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12</xdr:col>
      <xdr:colOff>60613</xdr:colOff>
      <xdr:row>2</xdr:row>
      <xdr:rowOff>216479</xdr:rowOff>
    </xdr:to>
    <xdr:pic>
      <xdr:nvPicPr>
        <xdr:cNvPr id="8" name="Рисунок 7">
          <a:hlinkClick xmlns:r="http://schemas.openxmlformats.org/officeDocument/2006/relationships" r:id="rId1"/>
          <a:extLst>
            <a:ext uri="{FF2B5EF4-FFF2-40B4-BE49-F238E27FC236}">
              <a16:creationId xmlns:a16="http://schemas.microsoft.com/office/drawing/2014/main" xmlns="" id="{00000000-0008-0000-0900-000008000000}"/>
            </a:ext>
          </a:extLst>
        </xdr:cNvPr>
        <xdr:cNvPicPr>
          <a:picLocks noChangeAspect="1"/>
        </xdr:cNvPicPr>
      </xdr:nvPicPr>
      <xdr:blipFill>
        <a:blip xmlns:r="http://schemas.openxmlformats.org/officeDocument/2006/relationships" r:embed="rId2"/>
        <a:stretch>
          <a:fillRect/>
        </a:stretch>
      </xdr:blipFill>
      <xdr:spPr>
        <a:xfrm>
          <a:off x="0" y="1"/>
          <a:ext cx="12070772" cy="1489364"/>
        </a:xfrm>
        <a:prstGeom prst="rect">
          <a:avLst/>
        </a:prstGeom>
      </xdr:spPr>
    </xdr:pic>
    <xdr:clientData/>
  </xdr:twoCellAnchor>
  <xdr:twoCellAnchor editAs="oneCell">
    <xdr:from>
      <xdr:col>0</xdr:col>
      <xdr:colOff>8658</xdr:colOff>
      <xdr:row>48</xdr:row>
      <xdr:rowOff>23089</xdr:rowOff>
    </xdr:from>
    <xdr:to>
      <xdr:col>12</xdr:col>
      <xdr:colOff>95249</xdr:colOff>
      <xdr:row>51</xdr:row>
      <xdr:rowOff>155285</xdr:rowOff>
    </xdr:to>
    <xdr:pic>
      <xdr:nvPicPr>
        <xdr:cNvPr id="3" name="Рисунок 2">
          <a:extLst>
            <a:ext uri="{FF2B5EF4-FFF2-40B4-BE49-F238E27FC236}">
              <a16:creationId xmlns:a16="http://schemas.microsoft.com/office/drawing/2014/main" xmlns="" id="{00000000-0008-0000-0900-000003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8658" y="15739339"/>
          <a:ext cx="12096750" cy="703696"/>
        </a:xfrm>
        <a:prstGeom prst="rect">
          <a:avLst/>
        </a:prstGeom>
      </xdr:spPr>
    </xdr:pic>
    <xdr:clientData/>
  </xdr:twoCellAnchor>
  <xdr:twoCellAnchor>
    <xdr:from>
      <xdr:col>1</xdr:col>
      <xdr:colOff>43295</xdr:colOff>
      <xdr:row>54</xdr:row>
      <xdr:rowOff>142297</xdr:rowOff>
    </xdr:from>
    <xdr:to>
      <xdr:col>3</xdr:col>
      <xdr:colOff>225136</xdr:colOff>
      <xdr:row>74</xdr:row>
      <xdr:rowOff>86591</xdr:rowOff>
    </xdr:to>
    <xdr:sp macro="" textlink="">
      <xdr:nvSpPr>
        <xdr:cNvPr id="9" name="TextBox 8">
          <a:extLst>
            <a:ext uri="{FF2B5EF4-FFF2-40B4-BE49-F238E27FC236}">
              <a16:creationId xmlns:a16="http://schemas.microsoft.com/office/drawing/2014/main" xmlns="" id="{00000000-0008-0000-0900-000009000000}"/>
            </a:ext>
          </a:extLst>
        </xdr:cNvPr>
        <xdr:cNvSpPr txBox="1"/>
      </xdr:nvSpPr>
      <xdr:spPr>
        <a:xfrm>
          <a:off x="129886" y="17001547"/>
          <a:ext cx="5870864" cy="375429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baseline="0">
              <a:solidFill>
                <a:schemeClr val="dk1"/>
              </a:solidFill>
              <a:latin typeface="+mn-lt"/>
              <a:ea typeface="+mn-ea"/>
              <a:cs typeface="Arial" panose="020B0604020202020204" pitchFamily="34" charset="0"/>
            </a:rPr>
            <a:t>NAC Dallas Lock </a:t>
          </a:r>
        </a:p>
        <a:p>
          <a:pPr algn="l"/>
          <a:r>
            <a:rPr lang="en-US" sz="1100" b="0" i="0">
              <a:solidFill>
                <a:schemeClr val="dk1"/>
              </a:solidFill>
              <a:effectLst/>
              <a:latin typeface="+mn-lt"/>
              <a:ea typeface="+mn-ea"/>
              <a:cs typeface="+mn-cs"/>
            </a:rPr>
            <a:t>NAC Dallas Lock — </a:t>
          </a:r>
          <a:r>
            <a:rPr lang="ru-RU" sz="1100" b="0" i="0">
              <a:solidFill>
                <a:schemeClr val="dk1"/>
              </a:solidFill>
              <a:effectLst/>
              <a:latin typeface="+mn-lt"/>
              <a:ea typeface="+mn-ea"/>
              <a:cs typeface="+mn-cs"/>
            </a:rPr>
            <a:t>программный комплекс, реализующий централизованный контроль и управление доступом к доверенным сетевым зонам корпоративной инфраструктуры. Предназначен для обеспечения защищённого подключения конечных устройств (как стационарных, так и мобильных) к доверенным сегментам корпоративной сети. В составе комплекса три компонента: шлюз безопасности WAF Dallas Lock — межсетевой экран и СОВ, фильтрует трафик подключений</a:t>
          </a:r>
          <a:r>
            <a:rPr lang="en-US" sz="1100" b="0" i="0">
              <a:solidFill>
                <a:schemeClr val="dk1"/>
              </a:solidFill>
              <a:effectLst/>
              <a:latin typeface="+mn-lt"/>
              <a:ea typeface="+mn-ea"/>
              <a:cs typeface="+mn-cs"/>
            </a:rPr>
            <a:t> </a:t>
          </a:r>
          <a:r>
            <a:rPr lang="ru-RU" sz="1100" b="0" i="0">
              <a:solidFill>
                <a:schemeClr val="dk1"/>
              </a:solidFill>
              <a:effectLst/>
              <a:latin typeface="+mn-lt"/>
              <a:ea typeface="+mn-ea"/>
              <a:cs typeface="+mn-cs"/>
            </a:rPr>
            <a:t>(</a:t>
          </a:r>
          <a:r>
            <a:rPr lang="ru-RU" sz="1100" b="0" i="0" u="none" strike="noStrike">
              <a:solidFill>
                <a:schemeClr val="dk1"/>
              </a:solidFill>
              <a:effectLst/>
              <a:latin typeface="+mn-lt"/>
              <a:ea typeface="+mn-ea"/>
              <a:cs typeface="+mn-cs"/>
            </a:rPr>
            <a:t>может использоваться и полная комплектация </a:t>
          </a:r>
          <a:r>
            <a:rPr lang="en-US" sz="1100" b="0" i="0" u="none" strike="noStrike">
              <a:solidFill>
                <a:schemeClr val="dk1"/>
              </a:solidFill>
              <a:effectLst/>
              <a:latin typeface="+mn-lt"/>
              <a:ea typeface="+mn-ea"/>
              <a:cs typeface="+mn-cs"/>
            </a:rPr>
            <a:t>WAF Dallas Lock, </a:t>
          </a:r>
          <a:r>
            <a:rPr lang="ru-RU" sz="1100" b="0" i="0" u="none" strike="noStrike">
              <a:solidFill>
                <a:schemeClr val="dk1"/>
              </a:solidFill>
              <a:effectLst/>
              <a:latin typeface="+mn-lt"/>
              <a:ea typeface="+mn-ea"/>
              <a:cs typeface="+mn-cs"/>
            </a:rPr>
            <a:t>если требуется защита веб-приложений)</a:t>
          </a:r>
          <a:r>
            <a:rPr lang="ru-RU" sz="1100" b="0" i="0">
              <a:solidFill>
                <a:schemeClr val="dk1"/>
              </a:solidFill>
              <a:effectLst/>
              <a:latin typeface="+mn-lt"/>
              <a:ea typeface="+mn-ea"/>
              <a:cs typeface="+mn-cs"/>
            </a:rPr>
            <a:t>; ЕЦУ Dallas Lock — сервер авторизации и консоль управления, ведёт учёт лицензий и агентов; агенты ЕЦУ + NAC — устанавливаются на конечные устройства (Windows, Linux, Android) и обеспечивают их доверенное подключение. Продаётся единым комплектом; также есть возможность отдельно докупить агенты.</a:t>
          </a:r>
          <a:endParaRPr lang="en-US" sz="1100" b="0" i="0">
            <a:solidFill>
              <a:schemeClr val="dk1"/>
            </a:solidFill>
            <a:effectLst/>
            <a:latin typeface="+mn-lt"/>
            <a:ea typeface="+mn-ea"/>
            <a:cs typeface="+mn-cs"/>
          </a:endParaRPr>
        </a:p>
        <a:p>
          <a:pPr algn="l"/>
          <a:endParaRPr lang="ru-RU">
            <a:solidFill>
              <a:sysClr val="windowText" lastClr="000000"/>
            </a:solidFill>
            <a:effectLst/>
          </a:endParaRPr>
        </a:p>
        <a:p>
          <a:pPr marL="0" marR="0" lvl="0" indent="0" algn="l" defTabSz="914400" eaLnBrk="1" fontAlgn="auto" latinLnBrk="0" hangingPunct="1">
            <a:lnSpc>
              <a:spcPct val="100000"/>
            </a:lnSpc>
            <a:spcBef>
              <a:spcPts val="0"/>
            </a:spcBef>
            <a:spcAft>
              <a:spcPts val="0"/>
            </a:spcAft>
            <a:buClrTx/>
            <a:buSzTx/>
            <a:buFontTx/>
            <a:buNone/>
            <a:tabLst/>
            <a:defRPr/>
          </a:pPr>
          <a:r>
            <a:rPr lang="ru-RU" sz="1100" b="1" i="0" baseline="0">
              <a:solidFill>
                <a:schemeClr val="dk1"/>
              </a:solidFill>
              <a:effectLst/>
              <a:latin typeface="+mn-lt"/>
              <a:ea typeface="+mn-ea"/>
              <a:cs typeface="+mn-cs"/>
            </a:rPr>
            <a:t>Лицензирование </a:t>
          </a:r>
          <a:r>
            <a:rPr lang="en-US" sz="1100" b="1" i="0" baseline="0">
              <a:solidFill>
                <a:schemeClr val="dk1"/>
              </a:solidFill>
              <a:effectLst/>
              <a:latin typeface="+mn-lt"/>
              <a:ea typeface="+mn-ea"/>
              <a:cs typeface="+mn-cs"/>
            </a:rPr>
            <a:t>NAC Dallas Lock</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0" i="0" u="none" strike="noStrike" baseline="0">
              <a:solidFill>
                <a:schemeClr val="dk1"/>
              </a:solidFill>
              <a:latin typeface="+mn-lt"/>
              <a:ea typeface="+mn-ea"/>
              <a:cs typeface="Arial" panose="020B0604020202020204" pitchFamily="34" charset="0"/>
            </a:rPr>
            <a:t>NAC Dallas Lock </a:t>
          </a:r>
          <a:r>
            <a:rPr lang="ru-RU" sz="1100" b="0" i="0" u="none" strike="noStrike" baseline="0">
              <a:solidFill>
                <a:schemeClr val="dk1"/>
              </a:solidFill>
              <a:latin typeface="+mn-lt"/>
              <a:ea typeface="+mn-ea"/>
              <a:cs typeface="Arial" panose="020B0604020202020204" pitchFamily="34" charset="0"/>
            </a:rPr>
            <a:t>лицензируется по количеству удалённых агентов ЕЦУ и NAC, управляемых через ЕЦУ </a:t>
          </a:r>
          <a:r>
            <a:rPr lang="en-US" sz="1100" b="0" i="0" u="none" strike="noStrike" baseline="0">
              <a:solidFill>
                <a:schemeClr val="dk1"/>
              </a:solidFill>
              <a:latin typeface="+mn-lt"/>
              <a:ea typeface="+mn-ea"/>
              <a:cs typeface="Arial" panose="020B0604020202020204" pitchFamily="34" charset="0"/>
            </a:rPr>
            <a:t>Dallas Lock.</a:t>
          </a:r>
          <a:r>
            <a:rPr lang="ru-RU" sz="1100" b="0" i="0" u="none" strike="noStrike" baseline="0">
              <a:solidFill>
                <a:schemeClr val="dk1"/>
              </a:solidFill>
              <a:latin typeface="+mn-lt"/>
              <a:ea typeface="+mn-ea"/>
              <a:cs typeface="Arial" panose="020B0604020202020204" pitchFamily="34" charset="0"/>
            </a:rPr>
            <a:t> Лицензия ограничивает количество удалённых агентов, которыми управляет ЕЦУ, использующих механизмы </a:t>
          </a:r>
          <a:r>
            <a:rPr lang="en-US" sz="1100" b="0" i="0" u="none" strike="noStrike" baseline="0">
              <a:solidFill>
                <a:schemeClr val="dk1"/>
              </a:solidFill>
              <a:latin typeface="+mn-lt"/>
              <a:ea typeface="+mn-ea"/>
              <a:cs typeface="Arial" panose="020B0604020202020204" pitchFamily="34" charset="0"/>
            </a:rPr>
            <a:t>NAC.</a:t>
          </a:r>
          <a:endParaRPr lang="ru-RU" sz="1100" b="0" i="0" u="none" strike="noStrike" baseline="0">
            <a:solidFill>
              <a:schemeClr val="dk1"/>
            </a:solidFill>
            <a:latin typeface="+mn-lt"/>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ru-RU" sz="1100" b="0" i="0" u="none" strike="noStrike" baseline="0">
            <a:solidFill>
              <a:schemeClr val="dk1"/>
            </a:solidFill>
            <a:latin typeface="+mn-lt"/>
            <a:ea typeface="+mn-ea"/>
            <a:cs typeface="Arial" panose="020B0604020202020204" pitchFamily="34" charset="0"/>
          </a:endParaRPr>
        </a:p>
        <a:p>
          <a:pPr algn="l" eaLnBrk="1" fontAlgn="auto" latinLnBrk="0" hangingPunct="1"/>
          <a:r>
            <a:rPr lang="ru-RU" sz="1100" b="1" i="0" u="none" strike="noStrike" baseline="0">
              <a:solidFill>
                <a:schemeClr val="dk1"/>
              </a:solidFill>
              <a:effectLst/>
              <a:latin typeface="+mn-lt"/>
              <a:ea typeface="+mn-ea"/>
              <a:cs typeface="+mn-cs"/>
            </a:rPr>
            <a:t>Управление лицензиями </a:t>
          </a:r>
        </a:p>
        <a:p>
          <a:pPr algn="l" eaLnBrk="1" fontAlgn="auto" latinLnBrk="0" hangingPunct="1"/>
          <a:r>
            <a:rPr lang="ru-RU" sz="1100" b="0" i="0" u="none" strike="noStrike">
              <a:solidFill>
                <a:schemeClr val="dk1"/>
              </a:solidFill>
              <a:effectLst/>
              <a:latin typeface="+mn-lt"/>
              <a:ea typeface="+mn-ea"/>
              <a:cs typeface="+mn-cs"/>
            </a:rPr>
            <a:t>Лицензии указываются и контролируются исключительно через ЕЦУ </a:t>
          </a:r>
          <a:r>
            <a:rPr lang="en-US" sz="1100" b="0" i="0" u="none" strike="noStrike">
              <a:solidFill>
                <a:schemeClr val="dk1"/>
              </a:solidFill>
              <a:effectLst/>
              <a:latin typeface="+mn-lt"/>
              <a:ea typeface="+mn-ea"/>
              <a:cs typeface="+mn-cs"/>
            </a:rPr>
            <a:t>Dallas Lock.</a:t>
          </a:r>
          <a:r>
            <a:rPr lang="en-US"/>
            <a:t> </a:t>
          </a:r>
          <a:r>
            <a:rPr lang="ru-RU" sz="1100" b="0" i="0" u="none" strike="noStrike">
              <a:solidFill>
                <a:schemeClr val="dk1"/>
              </a:solidFill>
              <a:effectLst/>
              <a:latin typeface="+mn-lt"/>
              <a:ea typeface="+mn-ea"/>
              <a:cs typeface="+mn-cs"/>
            </a:rPr>
            <a:t>ЕЦУ ведёт учёт количества активных подключений и не допускает превышения лимита.</a:t>
          </a:r>
          <a:r>
            <a:rPr lang="ru-RU"/>
            <a:t> </a:t>
          </a:r>
          <a:r>
            <a:rPr lang="ru-RU" sz="1100" b="0" i="0" u="none" strike="noStrike">
              <a:solidFill>
                <a:schemeClr val="dk1"/>
              </a:solidFill>
              <a:effectLst/>
              <a:latin typeface="+mn-lt"/>
              <a:ea typeface="+mn-ea"/>
              <a:cs typeface="+mn-cs"/>
            </a:rPr>
            <a:t>Все действия по активации, продлению и изменению количества лицензий выполняются централизованно.</a:t>
          </a:r>
          <a:r>
            <a:rPr lang="ru-RU"/>
            <a:t> </a:t>
          </a:r>
        </a:p>
        <a:p>
          <a:pPr marL="0" marR="0" lvl="0" indent="0" algn="l" defTabSz="914400" eaLnBrk="1" fontAlgn="auto" latinLnBrk="0" hangingPunct="1">
            <a:lnSpc>
              <a:spcPct val="100000"/>
            </a:lnSpc>
            <a:spcBef>
              <a:spcPts val="0"/>
            </a:spcBef>
            <a:spcAft>
              <a:spcPts val="0"/>
            </a:spcAft>
            <a:buClrTx/>
            <a:buSzTx/>
            <a:buFontTx/>
            <a:buNone/>
            <a:tabLst/>
            <a:defRPr/>
          </a:pPr>
          <a:endParaRPr lang="ru-RU" sz="1100" b="0" i="0" baseline="0">
            <a:solidFill>
              <a:schemeClr val="dk1"/>
            </a:solidFill>
            <a:effectLst/>
            <a:latin typeface="+mn-lt"/>
            <a:ea typeface="+mn-ea"/>
            <a:cs typeface="+mn-cs"/>
          </a:endParaRPr>
        </a:p>
      </xdr:txBody>
    </xdr:sp>
    <xdr:clientData/>
  </xdr:twoCellAnchor>
  <xdr:twoCellAnchor>
    <xdr:from>
      <xdr:col>3</xdr:col>
      <xdr:colOff>95250</xdr:colOff>
      <xdr:row>54</xdr:row>
      <xdr:rowOff>106508</xdr:rowOff>
    </xdr:from>
    <xdr:to>
      <xdr:col>11</xdr:col>
      <xdr:colOff>411307</xdr:colOff>
      <xdr:row>70</xdr:row>
      <xdr:rowOff>60613</xdr:rowOff>
    </xdr:to>
    <xdr:sp macro="" textlink="">
      <xdr:nvSpPr>
        <xdr:cNvPr id="10" name="TextBox 9">
          <a:extLst>
            <a:ext uri="{FF2B5EF4-FFF2-40B4-BE49-F238E27FC236}">
              <a16:creationId xmlns:a16="http://schemas.microsoft.com/office/drawing/2014/main" xmlns="" id="{00000000-0008-0000-0900-00000A000000}"/>
            </a:ext>
          </a:extLst>
        </xdr:cNvPr>
        <xdr:cNvSpPr txBox="1"/>
      </xdr:nvSpPr>
      <xdr:spPr>
        <a:xfrm>
          <a:off x="5870864" y="15658235"/>
          <a:ext cx="5857875" cy="30021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ru-RU" sz="1100" b="1" i="0" u="none" strike="noStrike" baseline="0">
              <a:solidFill>
                <a:schemeClr val="dk1"/>
              </a:solidFill>
              <a:latin typeface="+mn-lt"/>
              <a:ea typeface="+mn-ea"/>
              <a:cs typeface="Arial" panose="020B0604020202020204" pitchFamily="34" charset="0"/>
            </a:rPr>
            <a:t>Приобретение обновлений бессрочной лицензии</a:t>
          </a:r>
        </a:p>
        <a:p>
          <a:pPr marL="0" marR="0" lvl="0" indent="0" algn="l" defTabSz="914400" eaLnBrk="1" fontAlgn="auto" latinLnBrk="0" hangingPunct="1">
            <a:lnSpc>
              <a:spcPct val="100000"/>
            </a:lnSpc>
            <a:spcBef>
              <a:spcPts val="0"/>
            </a:spcBef>
            <a:spcAft>
              <a:spcPts val="0"/>
            </a:spcAft>
            <a:buClrTx/>
            <a:buSzTx/>
            <a:buFontTx/>
            <a:buNone/>
            <a:tabLst/>
            <a:defRPr/>
          </a:pPr>
          <a:r>
            <a:rPr lang="ru-RU" sz="1100" b="0" i="0" baseline="0">
              <a:solidFill>
                <a:schemeClr val="dk1"/>
              </a:solidFill>
              <a:latin typeface="+mn-lt"/>
              <a:ea typeface="+mn-ea"/>
              <a:cs typeface="+mn-cs"/>
            </a:rPr>
            <a:t>При приобретении бессрочной лицензии предоставляется годовое гарантийное сопровождение: обновляются сертифицированные дистрибутивы, сигнатуры БРП и оказывается техническая поддержка. После окончания сопровождения обновления и техподдержка не предоставляются. Обновления бессрочной лицензии (артикул UPD-*) — 40% от стоимости бессрочной лицензии шлюза; при этом оплачивается весь период, в течение которого обновления не приобретались. Обозначение периода сопровождения: срочная лицензия — 1Y (1 год) / 3Y (3 года), расширенная «24×7» — 1Y247 / 3Y247; бессрочная — 12M (1 год) / 36M (3 года), «24×7» — 12M247 / 36M247.</a:t>
          </a:r>
        </a:p>
        <a:p>
          <a:pPr algn="l" eaLnBrk="1" fontAlgn="auto" latinLnBrk="0" hangingPunct="1"/>
          <a:endParaRPr lang="ru-RU"/>
        </a:p>
        <a:p>
          <a:pPr marL="0" marR="0" lvl="0" indent="0" algn="l" defTabSz="914400" eaLnBrk="1" fontAlgn="auto" latinLnBrk="0" hangingPunct="1">
            <a:lnSpc>
              <a:spcPct val="100000"/>
            </a:lnSpc>
            <a:spcBef>
              <a:spcPts val="0"/>
            </a:spcBef>
            <a:spcAft>
              <a:spcPts val="0"/>
            </a:spcAft>
            <a:buClrTx/>
            <a:buSzTx/>
            <a:buFontTx/>
            <a:buNone/>
            <a:tabLst/>
            <a:defRPr/>
          </a:pPr>
          <a:r>
            <a:rPr lang="ru-RU" sz="1100" b="1" i="0" u="none" strike="noStrike" baseline="0">
              <a:solidFill>
                <a:schemeClr val="dk1"/>
              </a:solidFill>
              <a:latin typeface="+mn-lt"/>
              <a:ea typeface="+mn-ea"/>
              <a:cs typeface="Arial" panose="020B0604020202020204" pitchFamily="34" charset="0"/>
            </a:rPr>
            <a:t>Продление срочной лицензии</a:t>
          </a:r>
          <a:endParaRPr lang="ru-RU" sz="1100" b="0" i="0" u="none" strike="noStrike">
            <a:solidFill>
              <a:schemeClr val="dk1"/>
            </a:solidFill>
            <a:effectLst/>
            <a:latin typeface="+mn-lt"/>
            <a:ea typeface="+mn-ea"/>
            <a:cs typeface="+mn-cs"/>
          </a:endParaRPr>
        </a:p>
        <a:p>
          <a:pPr algn="l" eaLnBrk="1" fontAlgn="auto" latinLnBrk="0" hangingPunct="1"/>
          <a:r>
            <a:rPr lang="ru-RU" sz="1100" b="0" i="0" u="none" strike="noStrike">
              <a:solidFill>
                <a:schemeClr val="dk1"/>
              </a:solidFill>
              <a:effectLst/>
              <a:latin typeface="+mn-lt"/>
              <a:ea typeface="+mn-ea"/>
              <a:cs typeface="+mn-cs"/>
            </a:rPr>
            <a:t>По окончании срока действия годовой лицензии требуется продление для сохранения права использования продукта, получения обновлений и технической поддержки.</a:t>
          </a:r>
          <a:r>
            <a:rPr lang="ru-RU"/>
            <a:t> </a:t>
          </a:r>
          <a:r>
            <a:rPr lang="ru-RU" sz="1100" b="0" i="0" u="none" strike="noStrike">
              <a:solidFill>
                <a:schemeClr val="dk1"/>
              </a:solidFill>
              <a:effectLst/>
              <a:latin typeface="+mn-lt"/>
              <a:ea typeface="+mn-ea"/>
              <a:cs typeface="+mn-cs"/>
            </a:rPr>
            <a:t>Продление выполняется ежегодно.</a:t>
          </a:r>
          <a:r>
            <a:rPr lang="ru-RU"/>
            <a:t> </a:t>
          </a:r>
          <a:r>
            <a:rPr lang="ru-RU" sz="1100" b="0" i="0" u="none" strike="noStrike">
              <a:solidFill>
                <a:schemeClr val="dk1"/>
              </a:solidFill>
              <a:effectLst/>
              <a:latin typeface="+mn-lt"/>
              <a:ea typeface="+mn-ea"/>
              <a:cs typeface="+mn-cs"/>
            </a:rPr>
            <a:t>При продлении возможно увеличить или уменьшить количество агентов в лицензии.</a:t>
          </a:r>
          <a:r>
            <a:rPr lang="ru-RU"/>
            <a:t> </a:t>
          </a:r>
          <a:r>
            <a:rPr lang="ru-RU" sz="1100" b="0" i="0" u="none" strike="noStrike">
              <a:solidFill>
                <a:schemeClr val="dk1"/>
              </a:solidFill>
              <a:effectLst/>
              <a:latin typeface="+mn-lt"/>
              <a:ea typeface="+mn-ea"/>
              <a:cs typeface="+mn-cs"/>
            </a:rPr>
            <a:t>Поддержка и обновления доступны только при активной срочной лицензии.</a:t>
          </a:r>
          <a:r>
            <a:rPr lang="ru-RU"/>
            <a:t> </a:t>
          </a:r>
        </a:p>
        <a:p>
          <a:pPr algn="l" eaLnBrk="1" fontAlgn="auto" latinLnBrk="0" hangingPunct="1"/>
          <a:endParaRPr lang="ru-RU" sz="1100" b="0" i="0" u="none" strike="noStrike" baseline="0">
            <a:solidFill>
              <a:srgbClr val="FF0000"/>
            </a:solidFill>
            <a:latin typeface="+mn-lt"/>
            <a:ea typeface="+mn-ea"/>
            <a:cs typeface="Arial" panose="020B0604020202020204" pitchFamily="34" charset="0"/>
          </a:endParaRPr>
        </a:p>
      </xdr:txBody>
    </xdr:sp>
    <xdr:clientData/>
  </xdr:twoCellAnchor>
  <xdr:twoCellAnchor editAs="oneCell">
    <xdr:from>
      <xdr:col>4</xdr:col>
      <xdr:colOff>432953</xdr:colOff>
      <xdr:row>2</xdr:row>
      <xdr:rowOff>277090</xdr:rowOff>
    </xdr:from>
    <xdr:to>
      <xdr:col>4</xdr:col>
      <xdr:colOff>653406</xdr:colOff>
      <xdr:row>2</xdr:row>
      <xdr:rowOff>505105</xdr:rowOff>
    </xdr:to>
    <xdr:pic>
      <xdr:nvPicPr>
        <xdr:cNvPr id="7" name="Рисунок 6">
          <a:extLst>
            <a:ext uri="{FF2B5EF4-FFF2-40B4-BE49-F238E27FC236}">
              <a16:creationId xmlns:a16="http://schemas.microsoft.com/office/drawing/2014/main" xmlns="" id="{00000000-0008-0000-0900-000007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6901294" y="1549976"/>
          <a:ext cx="220453" cy="228015"/>
        </a:xfrm>
        <a:prstGeom prst="rect">
          <a:avLst/>
        </a:prstGeom>
      </xdr:spPr>
    </xdr:pic>
    <xdr:clientData/>
  </xdr:twoCellAnchor>
  <xdr:twoCellAnchor>
    <xdr:from>
      <xdr:col>4</xdr:col>
      <xdr:colOff>406975</xdr:colOff>
      <xdr:row>2</xdr:row>
      <xdr:rowOff>207819</xdr:rowOff>
    </xdr:from>
    <xdr:to>
      <xdr:col>4</xdr:col>
      <xdr:colOff>692726</xdr:colOff>
      <xdr:row>3</xdr:row>
      <xdr:rowOff>25804</xdr:rowOff>
    </xdr:to>
    <xdr:sp macro="" textlink="">
      <xdr:nvSpPr>
        <xdr:cNvPr id="13" name="Прямоугольник 12">
          <a:hlinkClick xmlns:r="http://schemas.openxmlformats.org/officeDocument/2006/relationships" r:id="rId5"/>
          <a:extLst>
            <a:ext uri="{FF2B5EF4-FFF2-40B4-BE49-F238E27FC236}">
              <a16:creationId xmlns:a16="http://schemas.microsoft.com/office/drawing/2014/main" xmlns="" id="{00000000-0008-0000-0900-00000D000000}"/>
            </a:ext>
          </a:extLst>
        </xdr:cNvPr>
        <xdr:cNvSpPr/>
      </xdr:nvSpPr>
      <xdr:spPr>
        <a:xfrm>
          <a:off x="6875316" y="1480705"/>
          <a:ext cx="285751" cy="35484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mc:AlternateContent xmlns:mc="http://schemas.openxmlformats.org/markup-compatibility/2006">
    <mc:Choice xmlns:a14="http://schemas.microsoft.com/office/drawing/2010/main" Requires="a14">
      <xdr:twoCellAnchor editAs="oneCell">
        <xdr:from>
          <xdr:col>2</xdr:col>
          <xdr:colOff>3752850</xdr:colOff>
          <xdr:row>6</xdr:row>
          <xdr:rowOff>0</xdr:rowOff>
        </xdr:from>
        <xdr:to>
          <xdr:col>2</xdr:col>
          <xdr:colOff>3933825</xdr:colOff>
          <xdr:row>6</xdr:row>
          <xdr:rowOff>190500</xdr:rowOff>
        </xdr:to>
        <xdr:sp macro="" textlink="">
          <xdr:nvSpPr>
            <xdr:cNvPr id="67585" name="Check Box 1" hidden="1">
              <a:extLst>
                <a:ext uri="{63B3BB69-23CF-44E3-9099-C40C66FF867C}">
                  <a14:compatExt spid="_x0000_s67585"/>
                </a:ext>
                <a:ext uri="{FF2B5EF4-FFF2-40B4-BE49-F238E27FC236}">
                  <a16:creationId xmlns:a16="http://schemas.microsoft.com/office/drawing/2014/main" xmlns="" id="{00000000-0008-0000-0900-0000010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457200</xdr:colOff>
          <xdr:row>5</xdr:row>
          <xdr:rowOff>19050</xdr:rowOff>
        </xdr:from>
        <xdr:to>
          <xdr:col>11</xdr:col>
          <xdr:colOff>28575</xdr:colOff>
          <xdr:row>6</xdr:row>
          <xdr:rowOff>200025</xdr:rowOff>
        </xdr:to>
        <xdr:sp macro="" textlink="">
          <xdr:nvSpPr>
            <xdr:cNvPr id="67586" name="Check Box 2" hidden="1">
              <a:extLst>
                <a:ext uri="{63B3BB69-23CF-44E3-9099-C40C66FF867C}">
                  <a14:compatExt spid="_x0000_s67586"/>
                </a:ext>
                <a:ext uri="{FF2B5EF4-FFF2-40B4-BE49-F238E27FC236}">
                  <a16:creationId xmlns:a16="http://schemas.microsoft.com/office/drawing/2014/main" xmlns="" id="{00000000-0008-0000-0900-0000020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editAs="oneCell">
    <xdr:from>
      <xdr:col>0</xdr:col>
      <xdr:colOff>25977</xdr:colOff>
      <xdr:row>35</xdr:row>
      <xdr:rowOff>113434</xdr:rowOff>
    </xdr:from>
    <xdr:to>
      <xdr:col>13</xdr:col>
      <xdr:colOff>0</xdr:colOff>
      <xdr:row>39</xdr:row>
      <xdr:rowOff>118339</xdr:rowOff>
    </xdr:to>
    <xdr:pic>
      <xdr:nvPicPr>
        <xdr:cNvPr id="5" name="Рисунок 4">
          <a:extLst>
            <a:ext uri="{FF2B5EF4-FFF2-40B4-BE49-F238E27FC236}">
              <a16:creationId xmlns:a16="http://schemas.microsoft.com/office/drawing/2014/main" xmlns="" id="{00000000-0008-0000-0900-000005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25977" y="13353184"/>
          <a:ext cx="12088091" cy="76690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xdr:col>
          <xdr:colOff>3733800</xdr:colOff>
          <xdr:row>12</xdr:row>
          <xdr:rowOff>123825</xdr:rowOff>
        </xdr:from>
        <xdr:to>
          <xdr:col>3</xdr:col>
          <xdr:colOff>9525</xdr:colOff>
          <xdr:row>13</xdr:row>
          <xdr:rowOff>209550</xdr:rowOff>
        </xdr:to>
        <xdr:sp macro="" textlink="">
          <xdr:nvSpPr>
            <xdr:cNvPr id="67587" name="Check Box 3" hidden="1">
              <a:extLst>
                <a:ext uri="{63B3BB69-23CF-44E3-9099-C40C66FF867C}">
                  <a14:compatExt spid="_x0000_s67587"/>
                </a:ext>
                <a:ext uri="{FF2B5EF4-FFF2-40B4-BE49-F238E27FC236}">
                  <a16:creationId xmlns:a16="http://schemas.microsoft.com/office/drawing/2014/main" xmlns="" id="{00000000-0008-0000-0900-0000030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447675</xdr:colOff>
          <xdr:row>12</xdr:row>
          <xdr:rowOff>123825</xdr:rowOff>
        </xdr:from>
        <xdr:to>
          <xdr:col>11</xdr:col>
          <xdr:colOff>0</xdr:colOff>
          <xdr:row>14</xdr:row>
          <xdr:rowOff>0</xdr:rowOff>
        </xdr:to>
        <xdr:sp macro="" textlink="">
          <xdr:nvSpPr>
            <xdr:cNvPr id="67588" name="Check Box 4" hidden="1">
              <a:extLst>
                <a:ext uri="{63B3BB69-23CF-44E3-9099-C40C66FF867C}">
                  <a14:compatExt spid="_x0000_s67588"/>
                </a:ext>
                <a:ext uri="{FF2B5EF4-FFF2-40B4-BE49-F238E27FC236}">
                  <a16:creationId xmlns:a16="http://schemas.microsoft.com/office/drawing/2014/main" xmlns="" id="{00000000-0008-0000-0900-0000040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editAs="oneCell">
    <xdr:from>
      <xdr:col>0</xdr:col>
      <xdr:colOff>8659</xdr:colOff>
      <xdr:row>40</xdr:row>
      <xdr:rowOff>18616</xdr:rowOff>
    </xdr:from>
    <xdr:to>
      <xdr:col>13</xdr:col>
      <xdr:colOff>0</xdr:colOff>
      <xdr:row>47</xdr:row>
      <xdr:rowOff>107703</xdr:rowOff>
    </xdr:to>
    <xdr:pic>
      <xdr:nvPicPr>
        <xdr:cNvPr id="4" name="Рисунок 3">
          <a:extLst>
            <a:ext uri="{FF2B5EF4-FFF2-40B4-BE49-F238E27FC236}">
              <a16:creationId xmlns:a16="http://schemas.microsoft.com/office/drawing/2014/main" xmlns="" id="{00000000-0008-0000-0900-000004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xdr:blipFill>
      <xdr:spPr>
        <a:xfrm>
          <a:off x="8659" y="14210866"/>
          <a:ext cx="12105409" cy="1422587"/>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29367</xdr:colOff>
      <xdr:row>21</xdr:row>
      <xdr:rowOff>48130</xdr:rowOff>
    </xdr:from>
    <xdr:to>
      <xdr:col>2</xdr:col>
      <xdr:colOff>3596771</xdr:colOff>
      <xdr:row>50</xdr:row>
      <xdr:rowOff>56029</xdr:rowOff>
    </xdr:to>
    <xdr:sp macro="" textlink="">
      <xdr:nvSpPr>
        <xdr:cNvPr id="4" name="TextBox 3">
          <a:extLst>
            <a:ext uri="{FF2B5EF4-FFF2-40B4-BE49-F238E27FC236}">
              <a16:creationId xmlns:a16="http://schemas.microsoft.com/office/drawing/2014/main" xmlns="" id="{00000000-0008-0000-0A00-000004000000}"/>
            </a:ext>
          </a:extLst>
        </xdr:cNvPr>
        <xdr:cNvSpPr txBox="1"/>
      </xdr:nvSpPr>
      <xdr:spPr>
        <a:xfrm>
          <a:off x="29367" y="6144130"/>
          <a:ext cx="5382757" cy="55323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ru-RU">
              <a:effectLst/>
            </a:rPr>
            <a:t>С 01.11.2023 прекращаются продажи программного продукта Сервер безопасности (СБ) </a:t>
          </a:r>
          <a:r>
            <a:rPr lang="en-US">
              <a:effectLst/>
            </a:rPr>
            <a:t>Dallas Lock </a:t>
          </a:r>
          <a:r>
            <a:rPr lang="ru-RU">
              <a:effectLst/>
            </a:rPr>
            <a:t>версий 8.0-К и 8.0-С в связи с тем, что развитие этого продукта заморожено. Техническое сопровождение пользователей будет осуществляться в соответствии с оплаченным уровнем технической поддержки. </a:t>
          </a:r>
        </a:p>
        <a:p>
          <a:pPr algn="l"/>
          <a:r>
            <a:rPr lang="ru-RU">
              <a:effectLst/>
            </a:rPr>
            <a:t>С 01.11.2023 вместо Серверов безопасности для целей централизованного управления необходимо приобретать Единый центр управления (ЕЦУ).</a:t>
          </a:r>
        </a:p>
        <a:p>
          <a:pPr algn="l"/>
          <a:r>
            <a:rPr lang="ru-RU">
              <a:effectLst/>
            </a:rPr>
            <a:t>С 01.11.2023 при оплате продления технической поддержки СБ </a:t>
          </a:r>
          <a:r>
            <a:rPr lang="en-US">
              <a:effectLst/>
            </a:rPr>
            <a:t>Dallas Lock </a:t>
          </a:r>
          <a:r>
            <a:rPr lang="ru-RU">
              <a:effectLst/>
            </a:rPr>
            <a:t>пользователям будет предоставлена лицензия (неисключительное право) на ЕЦУ </a:t>
          </a:r>
          <a:r>
            <a:rPr lang="en-US">
              <a:effectLst/>
            </a:rPr>
            <a:t>Dallas Lock</a:t>
          </a:r>
          <a:r>
            <a:rPr lang="ru-RU">
              <a:effectLst/>
            </a:rPr>
            <a:t> (обновление).</a:t>
          </a:r>
        </a:p>
        <a:p>
          <a:pPr algn="l"/>
          <a:r>
            <a:rPr lang="ru-RU">
              <a:effectLst/>
            </a:rPr>
            <a:t>ЕЦУ </a:t>
          </a:r>
          <a:r>
            <a:rPr lang="en-US">
              <a:effectLst/>
            </a:rPr>
            <a:t>Dallas Lock</a:t>
          </a:r>
          <a:r>
            <a:rPr lang="ru-RU">
              <a:effectLst/>
            </a:rPr>
            <a:t> – это современное сертифицированное на соответствие требованиям безопасности информации ФСТЭК России решение, которое находится в Едином реестре российских программ для ЭВМ и БД (№ </a:t>
          </a:r>
          <a:r>
            <a:rPr lang="ru-RU" sz="1100">
              <a:solidFill>
                <a:schemeClr val="dk1"/>
              </a:solidFill>
              <a:effectLst/>
              <a:latin typeface="+mn-lt"/>
              <a:ea typeface="+mn-ea"/>
              <a:cs typeface="+mn-cs"/>
            </a:rPr>
            <a:t>11185 от 29.07.2021 г.</a:t>
          </a:r>
          <a:r>
            <a:rPr lang="ru-RU">
              <a:effectLst/>
            </a:rPr>
            <a:t>). </a:t>
          </a:r>
        </a:p>
        <a:p>
          <a:pPr algn="l"/>
          <a:r>
            <a:rPr lang="ru-RU">
              <a:effectLst/>
            </a:rPr>
            <a:t>ЕЦУ </a:t>
          </a:r>
          <a:r>
            <a:rPr lang="en-US">
              <a:effectLst/>
            </a:rPr>
            <a:t>Dallas Lock</a:t>
          </a:r>
          <a:r>
            <a:rPr lang="ru-RU">
              <a:effectLst/>
            </a:rPr>
            <a:t> – это не только замена устаревшего продукта СБ </a:t>
          </a:r>
          <a:r>
            <a:rPr lang="en-US">
              <a:effectLst/>
            </a:rPr>
            <a:t>Dallas Lock</a:t>
          </a:r>
          <a:r>
            <a:rPr lang="ru-RU">
              <a:effectLst/>
            </a:rPr>
            <a:t>, но и продукт, который имеет ряд значительных преимуществ перед СБ, в частности:</a:t>
          </a:r>
        </a:p>
        <a:p>
          <a:pPr marL="171450" lvl="0" indent="-171450" algn="l">
            <a:buFont typeface="Arial" panose="020B0604020202020204" pitchFamily="34" charset="0"/>
            <a:buChar char="•"/>
          </a:pPr>
          <a:r>
            <a:rPr lang="ru-RU" sz="1100">
              <a:solidFill>
                <a:schemeClr val="dk1"/>
              </a:solidFill>
              <a:effectLst/>
              <a:latin typeface="+mn-lt"/>
              <a:ea typeface="+mn-ea"/>
              <a:cs typeface="+mn-cs"/>
            </a:rPr>
            <a:t>ЕЦУ совместим с широким спектром операционных систем (ОС) от </a:t>
          </a:r>
          <a:r>
            <a:rPr lang="en-US" sz="1100">
              <a:solidFill>
                <a:schemeClr val="dk1"/>
              </a:solidFill>
              <a:effectLst/>
              <a:latin typeface="+mn-lt"/>
              <a:ea typeface="+mn-ea"/>
              <a:cs typeface="+mn-cs"/>
            </a:rPr>
            <a:t>Microsoft Windows </a:t>
          </a:r>
          <a:r>
            <a:rPr lang="ru-RU" sz="1100">
              <a:solidFill>
                <a:schemeClr val="dk1"/>
              </a:solidFill>
              <a:effectLst/>
              <a:latin typeface="+mn-lt"/>
              <a:ea typeface="+mn-ea"/>
              <a:cs typeface="+mn-cs"/>
            </a:rPr>
            <a:t>до сертифицированных российских ОС (СБ </a:t>
          </a:r>
          <a:r>
            <a:rPr lang="en-US" sz="1100">
              <a:solidFill>
                <a:schemeClr val="dk1"/>
              </a:solidFill>
              <a:effectLst/>
              <a:latin typeface="+mn-lt"/>
              <a:ea typeface="+mn-ea"/>
              <a:cs typeface="+mn-cs"/>
            </a:rPr>
            <a:t>Dallas Lock </a:t>
          </a:r>
          <a:r>
            <a:rPr lang="ru-RU" sz="1100">
              <a:solidFill>
                <a:schemeClr val="dk1"/>
              </a:solidFill>
              <a:effectLst/>
              <a:latin typeface="+mn-lt"/>
              <a:ea typeface="+mn-ea"/>
              <a:cs typeface="+mn-cs"/>
            </a:rPr>
            <a:t>совместим только с ОС семейства </a:t>
          </a:r>
          <a:r>
            <a:rPr lang="en-US" sz="1100">
              <a:solidFill>
                <a:schemeClr val="dk1"/>
              </a:solidFill>
              <a:effectLst/>
              <a:latin typeface="+mn-lt"/>
              <a:ea typeface="+mn-ea"/>
              <a:cs typeface="+mn-cs"/>
            </a:rPr>
            <a:t>Microsoft Windows</a:t>
          </a:r>
          <a:r>
            <a:rPr lang="ru-RU" sz="1100">
              <a:solidFill>
                <a:schemeClr val="dk1"/>
              </a:solidFill>
              <a:effectLst/>
              <a:latin typeface="+mn-lt"/>
              <a:ea typeface="+mn-ea"/>
              <a:cs typeface="+mn-cs"/>
            </a:rPr>
            <a:t>);</a:t>
          </a:r>
        </a:p>
        <a:p>
          <a:pPr marL="171450" lvl="0" indent="-171450" algn="l">
            <a:buFont typeface="Arial" panose="020B0604020202020204" pitchFamily="34" charset="0"/>
            <a:buChar char="•"/>
          </a:pPr>
          <a:r>
            <a:rPr lang="ru-RU" sz="1100">
              <a:solidFill>
                <a:schemeClr val="dk1"/>
              </a:solidFill>
              <a:effectLst/>
              <a:latin typeface="+mn-lt"/>
              <a:ea typeface="+mn-ea"/>
              <a:cs typeface="+mn-cs"/>
            </a:rPr>
            <a:t>ЕЦУ позволяет управлять не только различными СЗИ  </a:t>
          </a:r>
          <a:r>
            <a:rPr lang="en-US" sz="1100">
              <a:solidFill>
                <a:schemeClr val="dk1"/>
              </a:solidFill>
              <a:effectLst/>
              <a:latin typeface="+mn-lt"/>
              <a:ea typeface="+mn-ea"/>
              <a:cs typeface="+mn-cs"/>
            </a:rPr>
            <a:t>Dallas Lock</a:t>
          </a:r>
          <a:r>
            <a:rPr lang="ru-RU" sz="1100">
              <a:solidFill>
                <a:schemeClr val="dk1"/>
              </a:solidFill>
              <a:effectLst/>
              <a:latin typeface="+mn-lt"/>
              <a:ea typeface="+mn-ea"/>
              <a:cs typeface="+mn-cs"/>
            </a:rPr>
            <a:t>, но также АРМами и серверами, на которых не установлены СЗИ </a:t>
          </a:r>
          <a:r>
            <a:rPr lang="en-US" sz="1100">
              <a:solidFill>
                <a:schemeClr val="dk1"/>
              </a:solidFill>
              <a:effectLst/>
              <a:latin typeface="+mn-lt"/>
              <a:ea typeface="+mn-ea"/>
              <a:cs typeface="+mn-cs"/>
            </a:rPr>
            <a:t>Dallas Lock</a:t>
          </a:r>
          <a:r>
            <a:rPr lang="ru-RU" sz="1100">
              <a:solidFill>
                <a:schemeClr val="dk1"/>
              </a:solidFill>
              <a:effectLst/>
              <a:latin typeface="+mn-lt"/>
              <a:ea typeface="+mn-ea"/>
              <a:cs typeface="+mn-cs"/>
            </a:rPr>
            <a:t> (через Агента ЕЦУ для ОС </a:t>
          </a:r>
          <a:r>
            <a:rPr lang="en-US" sz="1100">
              <a:solidFill>
                <a:schemeClr val="dk1"/>
              </a:solidFill>
              <a:effectLst/>
              <a:latin typeface="+mn-lt"/>
              <a:ea typeface="+mn-ea"/>
              <a:cs typeface="+mn-cs"/>
            </a:rPr>
            <a:t>Windows </a:t>
          </a:r>
          <a:r>
            <a:rPr lang="ru-RU" sz="1100">
              <a:solidFill>
                <a:schemeClr val="dk1"/>
              </a:solidFill>
              <a:effectLst/>
              <a:latin typeface="+mn-lt"/>
              <a:ea typeface="+mn-ea"/>
              <a:cs typeface="+mn-cs"/>
            </a:rPr>
            <a:t>и </a:t>
          </a:r>
          <a:r>
            <a:rPr lang="en-US" sz="1100">
              <a:solidFill>
                <a:schemeClr val="dk1"/>
              </a:solidFill>
              <a:effectLst/>
              <a:latin typeface="+mn-lt"/>
              <a:ea typeface="+mn-ea"/>
              <a:cs typeface="+mn-cs"/>
            </a:rPr>
            <a:t>Linux</a:t>
          </a:r>
          <a:r>
            <a:rPr lang="ru-RU" sz="1100">
              <a:solidFill>
                <a:schemeClr val="dk1"/>
              </a:solidFill>
              <a:effectLst/>
              <a:latin typeface="+mn-lt"/>
              <a:ea typeface="+mn-ea"/>
              <a:cs typeface="+mn-cs"/>
            </a:rPr>
            <a:t>), кроме того ЕЦУ позволяет контролировать сетевое оборудование (СБ </a:t>
          </a:r>
          <a:r>
            <a:rPr lang="en-US" sz="1100">
              <a:solidFill>
                <a:schemeClr val="dk1"/>
              </a:solidFill>
              <a:effectLst/>
              <a:latin typeface="+mn-lt"/>
              <a:ea typeface="+mn-ea"/>
              <a:cs typeface="+mn-cs"/>
            </a:rPr>
            <a:t>Dallas Lock </a:t>
          </a:r>
          <a:r>
            <a:rPr lang="ru-RU" sz="1100">
              <a:solidFill>
                <a:schemeClr val="dk1"/>
              </a:solidFill>
              <a:effectLst/>
              <a:latin typeface="+mn-lt"/>
              <a:ea typeface="+mn-ea"/>
              <a:cs typeface="+mn-cs"/>
            </a:rPr>
            <a:t>– управляет только различными СЗИ </a:t>
          </a:r>
          <a:r>
            <a:rPr lang="en-US" sz="1100">
              <a:solidFill>
                <a:schemeClr val="dk1"/>
              </a:solidFill>
              <a:effectLst/>
              <a:latin typeface="+mn-lt"/>
              <a:ea typeface="+mn-ea"/>
              <a:cs typeface="+mn-cs"/>
            </a:rPr>
            <a:t>Dallas Lock</a:t>
          </a:r>
          <a:r>
            <a:rPr lang="ru-RU" sz="1100">
              <a:solidFill>
                <a:schemeClr val="dk1"/>
              </a:solidFill>
              <a:effectLst/>
              <a:latin typeface="+mn-lt"/>
              <a:ea typeface="+mn-ea"/>
              <a:cs typeface="+mn-cs"/>
            </a:rPr>
            <a:t>);</a:t>
          </a:r>
        </a:p>
        <a:p>
          <a:pPr marL="171450" lvl="0" indent="-171450" algn="l">
            <a:buFont typeface="Arial" panose="020B0604020202020204" pitchFamily="34" charset="0"/>
            <a:buChar char="•"/>
          </a:pPr>
          <a:r>
            <a:rPr lang="ru-RU" sz="1100">
              <a:solidFill>
                <a:schemeClr val="dk1"/>
              </a:solidFill>
              <a:effectLst/>
              <a:latin typeface="+mn-lt"/>
              <a:ea typeface="+mn-ea"/>
              <a:cs typeface="+mn-cs"/>
            </a:rPr>
            <a:t>ЕЦУ обеспечивает возможность безопасного доступа к удаленному АРМ (за пределами периметра организации) для администрирования (в СБ </a:t>
          </a:r>
          <a:r>
            <a:rPr lang="en-US" sz="1100">
              <a:solidFill>
                <a:schemeClr val="dk1"/>
              </a:solidFill>
              <a:effectLst/>
              <a:latin typeface="+mn-lt"/>
              <a:ea typeface="+mn-ea"/>
              <a:cs typeface="+mn-cs"/>
            </a:rPr>
            <a:t>Dallas Lock </a:t>
          </a:r>
          <a:r>
            <a:rPr lang="ru-RU" sz="1100">
              <a:solidFill>
                <a:schemeClr val="dk1"/>
              </a:solidFill>
              <a:effectLst/>
              <a:latin typeface="+mn-lt"/>
              <a:ea typeface="+mn-ea"/>
              <a:cs typeface="+mn-cs"/>
            </a:rPr>
            <a:t>такие механизмы отсутствуют);</a:t>
          </a:r>
        </a:p>
        <a:p>
          <a:pPr marL="171450" lvl="0" indent="-171450" algn="l">
            <a:buFont typeface="Arial" panose="020B0604020202020204" pitchFamily="34" charset="0"/>
            <a:buChar char="•"/>
          </a:pPr>
          <a:r>
            <a:rPr lang="ru-RU" sz="1100">
              <a:solidFill>
                <a:schemeClr val="dk1"/>
              </a:solidFill>
              <a:effectLst/>
              <a:latin typeface="+mn-lt"/>
              <a:ea typeface="+mn-ea"/>
              <a:cs typeface="+mn-cs"/>
            </a:rPr>
            <a:t>ЕЦУ сертифицирован в составе СЗИ НСД </a:t>
          </a:r>
          <a:r>
            <a:rPr lang="en-US" sz="1100">
              <a:solidFill>
                <a:schemeClr val="dk1"/>
              </a:solidFill>
              <a:effectLst/>
              <a:latin typeface="+mn-lt"/>
              <a:ea typeface="+mn-ea"/>
              <a:cs typeface="+mn-cs"/>
            </a:rPr>
            <a:t>Dallas Lock </a:t>
          </a:r>
          <a:r>
            <a:rPr lang="ru-RU" sz="1100">
              <a:solidFill>
                <a:schemeClr val="dk1"/>
              </a:solidFill>
              <a:effectLst/>
              <a:latin typeface="+mn-lt"/>
              <a:ea typeface="+mn-ea"/>
              <a:cs typeface="+mn-cs"/>
            </a:rPr>
            <a:t>версий 8.0-К и 8.0-С , СЗИ НСД </a:t>
          </a:r>
          <a:r>
            <a:rPr lang="en-US" sz="1100">
              <a:solidFill>
                <a:schemeClr val="dk1"/>
              </a:solidFill>
              <a:effectLst/>
              <a:latin typeface="+mn-lt"/>
              <a:ea typeface="+mn-ea"/>
              <a:cs typeface="+mn-cs"/>
            </a:rPr>
            <a:t>Dallas Lock Linux</a:t>
          </a:r>
          <a:r>
            <a:rPr lang="ru-RU" sz="1100">
              <a:solidFill>
                <a:schemeClr val="dk1"/>
              </a:solidFill>
              <a:effectLst/>
              <a:latin typeface="+mn-lt"/>
              <a:ea typeface="+mn-ea"/>
              <a:cs typeface="+mn-cs"/>
            </a:rPr>
            <a:t>, СДЗ </a:t>
          </a:r>
          <a:r>
            <a:rPr lang="en-US" sz="1100">
              <a:solidFill>
                <a:schemeClr val="dk1"/>
              </a:solidFill>
              <a:effectLst/>
              <a:latin typeface="+mn-lt"/>
              <a:ea typeface="+mn-ea"/>
              <a:cs typeface="+mn-cs"/>
            </a:rPr>
            <a:t>Dallas Lock </a:t>
          </a:r>
          <a:r>
            <a:rPr lang="ru-RU" sz="1100">
              <a:solidFill>
                <a:schemeClr val="dk1"/>
              </a:solidFill>
              <a:effectLst/>
              <a:latin typeface="+mn-lt"/>
              <a:ea typeface="+mn-ea"/>
              <a:cs typeface="+mn-cs"/>
            </a:rPr>
            <a:t>уровня платы расширения, находится на сертификации в составе СДЗ </a:t>
          </a:r>
          <a:r>
            <a:rPr lang="en-US" sz="1100">
              <a:solidFill>
                <a:schemeClr val="dk1"/>
              </a:solidFill>
              <a:effectLst/>
              <a:latin typeface="+mn-lt"/>
              <a:ea typeface="+mn-ea"/>
              <a:cs typeface="+mn-cs"/>
            </a:rPr>
            <a:t>Dallas Lock </a:t>
          </a:r>
          <a:r>
            <a:rPr lang="ru-RU" sz="1100">
              <a:solidFill>
                <a:schemeClr val="dk1"/>
              </a:solidFill>
              <a:effectLst/>
              <a:latin typeface="+mn-lt"/>
              <a:ea typeface="+mn-ea"/>
              <a:cs typeface="+mn-cs"/>
            </a:rPr>
            <a:t>уровня </a:t>
          </a:r>
          <a:r>
            <a:rPr lang="en-US" sz="1100">
              <a:solidFill>
                <a:schemeClr val="dk1"/>
              </a:solidFill>
              <a:effectLst/>
              <a:latin typeface="+mn-lt"/>
              <a:ea typeface="+mn-ea"/>
              <a:cs typeface="+mn-cs"/>
            </a:rPr>
            <a:t>BIOS</a:t>
          </a:r>
          <a:r>
            <a:rPr lang="ru-RU" sz="1100">
              <a:solidFill>
                <a:schemeClr val="dk1"/>
              </a:solidFill>
              <a:effectLst/>
              <a:latin typeface="+mn-lt"/>
              <a:ea typeface="+mn-ea"/>
              <a:cs typeface="+mn-cs"/>
            </a:rPr>
            <a:t> (СБ </a:t>
          </a:r>
          <a:r>
            <a:rPr lang="en-US" sz="1100">
              <a:solidFill>
                <a:schemeClr val="dk1"/>
              </a:solidFill>
              <a:effectLst/>
              <a:latin typeface="+mn-lt"/>
              <a:ea typeface="+mn-ea"/>
              <a:cs typeface="+mn-cs"/>
            </a:rPr>
            <a:t>Dallas Lock </a:t>
          </a:r>
          <a:r>
            <a:rPr lang="ru-RU" sz="1100">
              <a:solidFill>
                <a:schemeClr val="dk1"/>
              </a:solidFill>
              <a:effectLst/>
              <a:latin typeface="+mn-lt"/>
              <a:ea typeface="+mn-ea"/>
              <a:cs typeface="+mn-cs"/>
            </a:rPr>
            <a:t>сертифицирован только в составе СЗИ НСД </a:t>
          </a:r>
          <a:r>
            <a:rPr lang="en-US" sz="1100">
              <a:solidFill>
                <a:schemeClr val="dk1"/>
              </a:solidFill>
              <a:effectLst/>
              <a:latin typeface="+mn-lt"/>
              <a:ea typeface="+mn-ea"/>
              <a:cs typeface="+mn-cs"/>
            </a:rPr>
            <a:t>Dallas Lock</a:t>
          </a:r>
          <a:r>
            <a:rPr lang="ru-RU" sz="1100">
              <a:solidFill>
                <a:schemeClr val="dk1"/>
              </a:solidFill>
              <a:effectLst/>
              <a:latin typeface="+mn-lt"/>
              <a:ea typeface="+mn-ea"/>
              <a:cs typeface="+mn-cs"/>
            </a:rPr>
            <a:t>).</a:t>
          </a:r>
        </a:p>
        <a:p>
          <a:pPr algn="l"/>
          <a:r>
            <a:rPr lang="ru-RU" sz="1100">
              <a:solidFill>
                <a:schemeClr val="dk1"/>
              </a:solidFill>
              <a:effectLst/>
              <a:latin typeface="+mn-lt"/>
              <a:ea typeface="+mn-ea"/>
              <a:cs typeface="+mn-cs"/>
            </a:rPr>
            <a:t>Обращаем внимание, что ЕЦУ </a:t>
          </a:r>
          <a:r>
            <a:rPr lang="en-US" sz="1100">
              <a:solidFill>
                <a:schemeClr val="dk1"/>
              </a:solidFill>
              <a:effectLst/>
              <a:latin typeface="+mn-lt"/>
              <a:ea typeface="+mn-ea"/>
              <a:cs typeface="+mn-cs"/>
            </a:rPr>
            <a:t>Dallas Lock </a:t>
          </a:r>
          <a:r>
            <a:rPr lang="ru-RU" sz="1100">
              <a:solidFill>
                <a:schemeClr val="dk1"/>
              </a:solidFill>
              <a:effectLst/>
              <a:latin typeface="+mn-lt"/>
              <a:ea typeface="+mn-ea"/>
              <a:cs typeface="+mn-cs"/>
            </a:rPr>
            <a:t>лицензируется не только по количеству контролируемых АРМ с установленными СЗИ </a:t>
          </a:r>
          <a:r>
            <a:rPr lang="en-US" sz="1100">
              <a:solidFill>
                <a:schemeClr val="dk1"/>
              </a:solidFill>
              <a:effectLst/>
              <a:latin typeface="+mn-lt"/>
              <a:ea typeface="+mn-ea"/>
              <a:cs typeface="+mn-cs"/>
            </a:rPr>
            <a:t>Dallas Lock</a:t>
          </a:r>
          <a:r>
            <a:rPr lang="ru-RU" sz="1100">
              <a:solidFill>
                <a:schemeClr val="dk1"/>
              </a:solidFill>
              <a:effectLst/>
              <a:latin typeface="+mn-lt"/>
              <a:ea typeface="+mn-ea"/>
              <a:cs typeface="+mn-cs"/>
            </a:rPr>
            <a:t> или Агентами ЕЦУ, а также по количеству сетевых устройств.</a:t>
          </a:r>
        </a:p>
        <a:p>
          <a:pPr algn="l"/>
          <a:r>
            <a:rPr lang="ru-RU" sz="1100" b="1">
              <a:solidFill>
                <a:schemeClr val="dk1"/>
              </a:solidFill>
              <a:effectLst/>
              <a:latin typeface="+mn-lt"/>
              <a:ea typeface="+mn-ea"/>
              <a:cs typeface="+mn-cs"/>
            </a:rPr>
            <a:t> </a:t>
          </a:r>
          <a:endParaRPr lang="ru-RU" sz="1100">
            <a:solidFill>
              <a:schemeClr val="dk1"/>
            </a:solidFill>
            <a:effectLst/>
            <a:latin typeface="+mn-lt"/>
            <a:ea typeface="+mn-ea"/>
            <a:cs typeface="+mn-cs"/>
          </a:endParaRPr>
        </a:p>
      </xdr:txBody>
    </xdr:sp>
    <xdr:clientData/>
  </xdr:twoCellAnchor>
  <xdr:twoCellAnchor>
    <xdr:from>
      <xdr:col>2</xdr:col>
      <xdr:colOff>3677186</xdr:colOff>
      <xdr:row>21</xdr:row>
      <xdr:rowOff>48129</xdr:rowOff>
    </xdr:from>
    <xdr:to>
      <xdr:col>13</xdr:col>
      <xdr:colOff>2</xdr:colOff>
      <xdr:row>52</xdr:row>
      <xdr:rowOff>112058</xdr:rowOff>
    </xdr:to>
    <xdr:sp macro="" textlink="">
      <xdr:nvSpPr>
        <xdr:cNvPr id="5" name="TextBox 4">
          <a:extLst>
            <a:ext uri="{FF2B5EF4-FFF2-40B4-BE49-F238E27FC236}">
              <a16:creationId xmlns:a16="http://schemas.microsoft.com/office/drawing/2014/main" xmlns="" id="{00000000-0008-0000-0A00-000005000000}"/>
            </a:ext>
          </a:extLst>
        </xdr:cNvPr>
        <xdr:cNvSpPr txBox="1"/>
      </xdr:nvSpPr>
      <xdr:spPr>
        <a:xfrm>
          <a:off x="5492539" y="6144129"/>
          <a:ext cx="6733081" cy="59694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lnSpc>
              <a:spcPct val="115000"/>
            </a:lnSpc>
            <a:spcAft>
              <a:spcPts val="0"/>
            </a:spcAft>
          </a:pPr>
          <a:r>
            <a:rPr lang="ru-RU" sz="1100" b="1">
              <a:solidFill>
                <a:srgbClr val="000000"/>
              </a:solidFill>
              <a:effectLst/>
              <a:latin typeface="+mn-lt"/>
              <a:ea typeface="Calibri"/>
              <a:cs typeface="Times New Roman"/>
            </a:rPr>
            <a:t>Техническая поддержка</a:t>
          </a:r>
        </a:p>
        <a:p>
          <a:pPr marL="0" marR="0" lvl="0" indent="0" algn="l" defTabSz="914400" eaLnBrk="1" fontAlgn="auto" latinLnBrk="0" hangingPunct="1">
            <a:lnSpc>
              <a:spcPct val="115000"/>
            </a:lnSpc>
            <a:spcBef>
              <a:spcPts val="0"/>
            </a:spcBef>
            <a:spcAft>
              <a:spcPts val="0"/>
            </a:spcAft>
            <a:buClrTx/>
            <a:buSzTx/>
            <a:buFontTx/>
            <a:buNone/>
            <a:tabLst/>
            <a:defRPr/>
          </a:pPr>
          <a:r>
            <a:rPr lang="ru-RU" sz="1100" b="0" i="0" baseline="0">
              <a:solidFill>
                <a:schemeClr val="dk1"/>
              </a:solidFill>
              <a:effectLst/>
              <a:latin typeface="+mn-lt"/>
              <a:ea typeface="+mn-ea"/>
              <a:cs typeface="+mn-cs"/>
            </a:rPr>
            <a:t>При первичном приобретении гарантийное сопровождение (основной пакет) в течение 1 года включено в стоимость (окончание артикула </a:t>
          </a:r>
          <a:r>
            <a:rPr lang="en-US" sz="1100" b="1" i="0" baseline="0">
              <a:solidFill>
                <a:schemeClr val="dk1"/>
              </a:solidFill>
              <a:effectLst/>
              <a:latin typeface="+mn-lt"/>
              <a:ea typeface="+mn-ea"/>
              <a:cs typeface="+mn-cs"/>
            </a:rPr>
            <a:t>z = 12M</a:t>
          </a:r>
          <a:r>
            <a:rPr lang="ru-RU" sz="1100" b="0" i="0" baseline="0">
              <a:solidFill>
                <a:schemeClr val="dk1"/>
              </a:solidFill>
              <a:effectLst/>
              <a:latin typeface="+mn-lt"/>
              <a:ea typeface="+mn-ea"/>
              <a:cs typeface="+mn-cs"/>
            </a:rPr>
            <a:t>).</a:t>
          </a:r>
          <a:r>
            <a:rPr lang="en-US" sz="1100" b="0" i="0" baseline="0">
              <a:solidFill>
                <a:schemeClr val="dk1"/>
              </a:solidFill>
              <a:effectLst/>
              <a:latin typeface="+mn-lt"/>
              <a:ea typeface="+mn-ea"/>
              <a:cs typeface="+mn-cs"/>
            </a:rPr>
            <a:t> </a:t>
          </a:r>
          <a:r>
            <a:rPr lang="ru-RU" sz="1100" b="0" i="0" baseline="0">
              <a:solidFill>
                <a:schemeClr val="dk1"/>
              </a:solidFill>
              <a:effectLst/>
              <a:latin typeface="+mn-lt"/>
              <a:ea typeface="+mn-ea"/>
              <a:cs typeface="+mn-cs"/>
            </a:rPr>
            <a:t>В случае приобретения лицензий с гарантийным сопровождением (основной пакет) на 3 года, стоимость лицензии умножается на коэффициент </a:t>
          </a:r>
          <a:r>
            <a:rPr lang="ru-RU" sz="1100" b="1" i="0" baseline="0">
              <a:solidFill>
                <a:schemeClr val="dk1"/>
              </a:solidFill>
              <a:effectLst/>
              <a:latin typeface="+mn-lt"/>
              <a:ea typeface="+mn-ea"/>
              <a:cs typeface="+mn-cs"/>
            </a:rPr>
            <a:t>1,35</a:t>
          </a:r>
          <a:r>
            <a:rPr lang="ru-RU" sz="1100" b="0" i="0" baseline="0">
              <a:solidFill>
                <a:schemeClr val="dk1"/>
              </a:solidFill>
              <a:effectLst/>
              <a:latin typeface="+mn-lt"/>
              <a:ea typeface="+mn-ea"/>
              <a:cs typeface="+mn-cs"/>
            </a:rPr>
            <a:t> (</a:t>
          </a:r>
          <a:r>
            <a:rPr lang="en-US" sz="1100" b="1" i="0" baseline="0">
              <a:solidFill>
                <a:schemeClr val="dk1"/>
              </a:solidFill>
              <a:effectLst/>
              <a:latin typeface="+mn-lt"/>
              <a:ea typeface="+mn-ea"/>
              <a:cs typeface="+mn-cs"/>
            </a:rPr>
            <a:t>z = 36M</a:t>
          </a:r>
          <a:r>
            <a:rPr lang="ru-RU" sz="1100" b="0" i="0" baseline="0">
              <a:solidFill>
                <a:schemeClr val="dk1"/>
              </a:solidFill>
              <a:effectLst/>
              <a:latin typeface="+mn-lt"/>
              <a:ea typeface="+mn-ea"/>
              <a:cs typeface="+mn-cs"/>
            </a:rPr>
            <a:t>). При первичном приобретении с техническим сопровождением расширенного пакета «24х7» окончания артикулов </a:t>
          </a:r>
          <a:r>
            <a:rPr lang="en-US" sz="1100" b="1" i="0" baseline="0">
              <a:solidFill>
                <a:schemeClr val="dk1"/>
              </a:solidFill>
              <a:effectLst/>
              <a:latin typeface="+mn-lt"/>
              <a:ea typeface="+mn-ea"/>
              <a:cs typeface="+mn-cs"/>
            </a:rPr>
            <a:t>12M</a:t>
          </a:r>
          <a:r>
            <a:rPr lang="en-US" sz="1100" b="0" i="0" baseline="0">
              <a:solidFill>
                <a:schemeClr val="dk1"/>
              </a:solidFill>
              <a:effectLst/>
              <a:latin typeface="+mn-lt"/>
              <a:ea typeface="+mn-ea"/>
              <a:cs typeface="+mn-cs"/>
            </a:rPr>
            <a:t>, </a:t>
          </a:r>
          <a:r>
            <a:rPr lang="en-US" sz="1100" b="1" i="0" baseline="0">
              <a:solidFill>
                <a:schemeClr val="dk1"/>
              </a:solidFill>
              <a:effectLst/>
              <a:latin typeface="+mn-lt"/>
              <a:ea typeface="+mn-ea"/>
              <a:cs typeface="+mn-cs"/>
            </a:rPr>
            <a:t>36M</a:t>
          </a:r>
          <a:r>
            <a:rPr lang="ru-RU" sz="1100" b="0" i="0" baseline="0">
              <a:solidFill>
                <a:schemeClr val="dk1"/>
              </a:solidFill>
              <a:effectLst/>
              <a:latin typeface="+mn-lt"/>
              <a:ea typeface="+mn-ea"/>
              <a:cs typeface="+mn-cs"/>
            </a:rPr>
            <a:t> заменяются на </a:t>
          </a:r>
          <a:r>
            <a:rPr lang="en-US" sz="1100" b="1" i="0" baseline="0">
              <a:solidFill>
                <a:schemeClr val="dk1"/>
              </a:solidFill>
              <a:effectLst/>
              <a:latin typeface="+mn-lt"/>
              <a:ea typeface="+mn-ea"/>
              <a:cs typeface="+mn-cs"/>
            </a:rPr>
            <a:t>12M247</a:t>
          </a:r>
          <a:r>
            <a:rPr lang="ru-RU" sz="1100" b="0" i="0" baseline="0">
              <a:solidFill>
                <a:schemeClr val="dk1"/>
              </a:solidFill>
              <a:effectLst/>
              <a:latin typeface="+mn-lt"/>
              <a:ea typeface="+mn-ea"/>
              <a:cs typeface="+mn-cs"/>
            </a:rPr>
            <a:t>, </a:t>
          </a:r>
          <a:r>
            <a:rPr lang="en-US" sz="1100" b="1" i="0" baseline="0">
              <a:solidFill>
                <a:schemeClr val="dk1"/>
              </a:solidFill>
              <a:effectLst/>
              <a:latin typeface="+mn-lt"/>
              <a:ea typeface="+mn-ea"/>
              <a:cs typeface="+mn-cs"/>
            </a:rPr>
            <a:t>36M247</a:t>
          </a:r>
          <a:r>
            <a:rPr lang="en-US" sz="1100" b="0" i="0" baseline="0">
              <a:solidFill>
                <a:schemeClr val="dk1"/>
              </a:solidFill>
              <a:effectLst/>
              <a:latin typeface="+mn-lt"/>
              <a:ea typeface="+mn-ea"/>
              <a:cs typeface="+mn-cs"/>
            </a:rPr>
            <a:t> </a:t>
          </a:r>
          <a:r>
            <a:rPr lang="ru-RU" sz="1100" b="0" i="0" baseline="0">
              <a:solidFill>
                <a:schemeClr val="dk1"/>
              </a:solidFill>
              <a:effectLst/>
              <a:latin typeface="+mn-lt"/>
              <a:ea typeface="+mn-ea"/>
              <a:cs typeface="+mn-cs"/>
            </a:rPr>
            <a:t>соответственно.</a:t>
          </a:r>
          <a:endParaRPr lang="ru-RU">
            <a:effectLst/>
          </a:endParaRPr>
        </a:p>
        <a:p>
          <a:pPr algn="l"/>
          <a:r>
            <a:rPr lang="ru-RU" sz="1100" b="0" i="0" baseline="0">
              <a:solidFill>
                <a:schemeClr val="dk1"/>
              </a:solidFill>
              <a:effectLst/>
              <a:latin typeface="+mn-lt"/>
              <a:ea typeface="+mn-ea"/>
              <a:cs typeface="+mn-cs"/>
            </a:rPr>
            <a:t>Продление технического сопровождения оформляется в виде сертификата на код активации технической поддержки. </a:t>
          </a:r>
          <a:r>
            <a:rPr lang="ru-RU" sz="1100">
              <a:solidFill>
                <a:schemeClr val="dk1"/>
              </a:solidFill>
              <a:effectLst/>
              <a:latin typeface="+mn-lt"/>
              <a:ea typeface="+mn-ea"/>
              <a:cs typeface="+mn-cs"/>
            </a:rPr>
            <a:t>Сертификат передается по УПД или товарной накладной по форме ТОРГ-12 с оформлением счета-фактуры.</a:t>
          </a:r>
          <a:endParaRPr lang="ru-RU">
            <a:effectLst/>
          </a:endParaRPr>
        </a:p>
        <a:p>
          <a:pPr algn="l"/>
          <a:r>
            <a:rPr lang="ru-RU" sz="1100" b="0" i="0" baseline="0">
              <a:solidFill>
                <a:schemeClr val="dk1"/>
              </a:solidFill>
              <a:effectLst/>
              <a:latin typeface="+mn-lt"/>
              <a:ea typeface="+mn-ea"/>
              <a:cs typeface="+mn-cs"/>
            </a:rPr>
            <a:t>Стоимость последующего технического сопровождения (основной пакет) составляет 20% (15% для лицензий с артикулом </a:t>
          </a:r>
          <a:r>
            <a:rPr lang="en-US" sz="1100" b="0" i="0" baseline="0">
              <a:solidFill>
                <a:schemeClr val="dk1"/>
              </a:solidFill>
              <a:effectLst/>
              <a:latin typeface="+mn-lt"/>
              <a:ea typeface="+mn-ea"/>
              <a:cs typeface="+mn-cs"/>
            </a:rPr>
            <a:t>*</a:t>
          </a:r>
          <a:r>
            <a:rPr lang="ru-RU" sz="1100" b="0" i="0" baseline="0">
              <a:solidFill>
                <a:schemeClr val="dk1"/>
              </a:solidFill>
              <a:effectLst/>
              <a:latin typeface="+mn-lt"/>
              <a:ea typeface="+mn-ea"/>
              <a:cs typeface="+mn-cs"/>
            </a:rPr>
            <a:t>.36</a:t>
          </a:r>
          <a:r>
            <a:rPr lang="en-US" sz="1100" b="0" i="0" baseline="0">
              <a:solidFill>
                <a:schemeClr val="dk1"/>
              </a:solidFill>
              <a:effectLst/>
              <a:latin typeface="+mn-lt"/>
              <a:ea typeface="+mn-ea"/>
              <a:cs typeface="+mn-cs"/>
            </a:rPr>
            <a:t>M</a:t>
          </a:r>
          <a:r>
            <a:rPr lang="ru-RU" sz="1100" b="0" i="0" baseline="0">
              <a:solidFill>
                <a:schemeClr val="dk1"/>
              </a:solidFill>
              <a:effectLst/>
              <a:latin typeface="+mn-lt"/>
              <a:ea typeface="+mn-ea"/>
              <a:cs typeface="+mn-cs"/>
            </a:rPr>
            <a:t>) от стоимости лицензий в год. При оплате технического сопровождения (основной пакет) вперед на 3 года действует скидка – стоимость продления составит 55% (40% для лицензий с артикулом </a:t>
          </a:r>
          <a:r>
            <a:rPr lang="en-US" sz="1100" b="0" i="0" baseline="0">
              <a:solidFill>
                <a:schemeClr val="dk1"/>
              </a:solidFill>
              <a:effectLst/>
              <a:latin typeface="+mn-lt"/>
              <a:ea typeface="+mn-ea"/>
              <a:cs typeface="+mn-cs"/>
            </a:rPr>
            <a:t>*</a:t>
          </a:r>
          <a:r>
            <a:rPr lang="ru-RU" sz="1100" b="0" i="0" baseline="0">
              <a:solidFill>
                <a:schemeClr val="dk1"/>
              </a:solidFill>
              <a:effectLst/>
              <a:latin typeface="+mn-lt"/>
              <a:ea typeface="+mn-ea"/>
              <a:cs typeface="+mn-cs"/>
            </a:rPr>
            <a:t>.36</a:t>
          </a:r>
          <a:r>
            <a:rPr lang="en-US" sz="1100" b="0" i="0" baseline="0">
              <a:solidFill>
                <a:schemeClr val="dk1"/>
              </a:solidFill>
              <a:effectLst/>
              <a:latin typeface="+mn-lt"/>
              <a:ea typeface="+mn-ea"/>
              <a:cs typeface="+mn-cs"/>
            </a:rPr>
            <a:t>M</a:t>
          </a:r>
          <a:r>
            <a:rPr lang="ru-RU" sz="1100" b="0" i="0" baseline="0">
              <a:solidFill>
                <a:schemeClr val="dk1"/>
              </a:solidFill>
              <a:effectLst/>
              <a:latin typeface="+mn-lt"/>
              <a:ea typeface="+mn-ea"/>
              <a:cs typeface="+mn-cs"/>
            </a:rPr>
            <a:t>) от розничной стоимости лицензий. Стоимость последующего технического сопровождения (расширенный пакет «24х7») составляет 30% (22% для лицензий с артикулом </a:t>
          </a:r>
          <a:r>
            <a:rPr lang="en-US" sz="1100" b="0" i="0" baseline="0">
              <a:solidFill>
                <a:schemeClr val="dk1"/>
              </a:solidFill>
              <a:effectLst/>
              <a:latin typeface="+mn-lt"/>
              <a:ea typeface="+mn-ea"/>
              <a:cs typeface="+mn-cs"/>
            </a:rPr>
            <a:t>*</a:t>
          </a:r>
          <a:r>
            <a:rPr lang="ru-RU" sz="1100" b="0" i="0" baseline="0">
              <a:solidFill>
                <a:schemeClr val="dk1"/>
              </a:solidFill>
              <a:effectLst/>
              <a:latin typeface="+mn-lt"/>
              <a:ea typeface="+mn-ea"/>
              <a:cs typeface="+mn-cs"/>
            </a:rPr>
            <a:t>.36</a:t>
          </a:r>
          <a:r>
            <a:rPr lang="en-US" sz="1100" b="0" i="0" baseline="0">
              <a:solidFill>
                <a:schemeClr val="dk1"/>
              </a:solidFill>
              <a:effectLst/>
              <a:latin typeface="+mn-lt"/>
              <a:ea typeface="+mn-ea"/>
              <a:cs typeface="+mn-cs"/>
            </a:rPr>
            <a:t>M</a:t>
          </a:r>
          <a:r>
            <a:rPr lang="ru-RU" sz="1100" b="0" i="0" baseline="0">
              <a:solidFill>
                <a:schemeClr val="dk1"/>
              </a:solidFill>
              <a:effectLst/>
              <a:latin typeface="+mn-lt"/>
              <a:ea typeface="+mn-ea"/>
              <a:cs typeface="+mn-cs"/>
            </a:rPr>
            <a:t>) от стоимости лицензий в год. При оплате технического сопровождения (расширенный пакет «24х7») вперед на 3 года действует скидка – стоимость продления составит 80% (60% для лицензий с артикулом </a:t>
          </a:r>
          <a:r>
            <a:rPr lang="en-US" sz="1100" b="0" i="0" baseline="0">
              <a:solidFill>
                <a:schemeClr val="dk1"/>
              </a:solidFill>
              <a:effectLst/>
              <a:latin typeface="+mn-lt"/>
              <a:ea typeface="+mn-ea"/>
              <a:cs typeface="+mn-cs"/>
            </a:rPr>
            <a:t>*</a:t>
          </a:r>
          <a:r>
            <a:rPr lang="ru-RU" sz="1100" b="0" i="0" baseline="0">
              <a:solidFill>
                <a:schemeClr val="dk1"/>
              </a:solidFill>
              <a:effectLst/>
              <a:latin typeface="+mn-lt"/>
              <a:ea typeface="+mn-ea"/>
              <a:cs typeface="+mn-cs"/>
            </a:rPr>
            <a:t>.36</a:t>
          </a:r>
          <a:r>
            <a:rPr lang="en-US" sz="1100" b="0" i="0" baseline="0">
              <a:solidFill>
                <a:schemeClr val="dk1"/>
              </a:solidFill>
              <a:effectLst/>
              <a:latin typeface="+mn-lt"/>
              <a:ea typeface="+mn-ea"/>
              <a:cs typeface="+mn-cs"/>
            </a:rPr>
            <a:t>M</a:t>
          </a:r>
          <a:r>
            <a:rPr lang="ru-RU" sz="1100" b="0" i="0" baseline="0">
              <a:solidFill>
                <a:schemeClr val="dk1"/>
              </a:solidFill>
              <a:effectLst/>
              <a:latin typeface="+mn-lt"/>
              <a:ea typeface="+mn-ea"/>
              <a:cs typeface="+mn-cs"/>
            </a:rPr>
            <a:t>) от стоимости лицензий. При продлении технического сопровождения оплачивается также весь период с момента окончания гарантийного или технического сопровождения</a:t>
          </a:r>
          <a:r>
            <a:rPr lang="en-US" sz="1100" b="0" i="0" baseline="0">
              <a:solidFill>
                <a:schemeClr val="dk1"/>
              </a:solidFill>
              <a:effectLst/>
              <a:latin typeface="+mn-lt"/>
              <a:ea typeface="+mn-ea"/>
              <a:cs typeface="+mn-cs"/>
            </a:rPr>
            <a:t> </a:t>
          </a:r>
          <a:r>
            <a:rPr lang="ru-RU" sz="1100" b="0" i="0">
              <a:solidFill>
                <a:schemeClr val="dk1"/>
              </a:solidFill>
              <a:effectLst/>
              <a:latin typeface="+mn-lt"/>
              <a:ea typeface="+mn-ea"/>
              <a:cs typeface="+mn-cs"/>
            </a:rPr>
            <a:t>на все лицензии</a:t>
          </a:r>
          <a:r>
            <a:rPr lang="ru-RU" sz="1100" b="0" i="0" baseline="0">
              <a:solidFill>
                <a:schemeClr val="dk1"/>
              </a:solidFill>
              <a:effectLst/>
              <a:latin typeface="+mn-lt"/>
              <a:ea typeface="+mn-ea"/>
              <a:cs typeface="+mn-cs"/>
            </a:rPr>
            <a:t>.</a:t>
          </a:r>
          <a:endParaRPr lang="ru-RU">
            <a:effectLst/>
          </a:endParaRPr>
        </a:p>
        <a:p>
          <a:pPr algn="l"/>
          <a:r>
            <a:rPr lang="ru-RU" sz="1100" b="0" i="0" baseline="0">
              <a:solidFill>
                <a:schemeClr val="dk1"/>
              </a:solidFill>
              <a:effectLst/>
              <a:latin typeface="+mn-lt"/>
              <a:ea typeface="+mn-ea"/>
              <a:cs typeface="+mn-cs"/>
            </a:rPr>
            <a:t>Стоимость технического сопровождения на устаревших инфраструктурах (при использовании операционных систем с завершившейся поддержкой от вендора, например, таких, как </a:t>
          </a:r>
          <a:r>
            <a:rPr lang="en-US" sz="1100" b="0" i="0" baseline="0">
              <a:solidFill>
                <a:schemeClr val="dk1"/>
              </a:solidFill>
              <a:effectLst/>
              <a:latin typeface="+mn-lt"/>
              <a:ea typeface="+mn-ea"/>
              <a:cs typeface="+mn-cs"/>
            </a:rPr>
            <a:t>Windows XP/2003 Server</a:t>
          </a:r>
          <a:r>
            <a:rPr lang="ru-RU" sz="1100" b="0" i="0" baseline="0">
              <a:solidFill>
                <a:schemeClr val="dk1"/>
              </a:solidFill>
              <a:effectLst/>
              <a:latin typeface="+mn-lt"/>
              <a:ea typeface="+mn-ea"/>
              <a:cs typeface="+mn-cs"/>
            </a:rPr>
            <a:t>/</a:t>
          </a:r>
          <a:r>
            <a:rPr lang="en-US" sz="1100" b="0" i="0" baseline="0">
              <a:solidFill>
                <a:schemeClr val="dk1"/>
              </a:solidFill>
              <a:effectLst/>
              <a:latin typeface="+mn-lt"/>
              <a:ea typeface="+mn-ea"/>
              <a:cs typeface="+mn-cs"/>
            </a:rPr>
            <a:t>Windows 7 </a:t>
          </a:r>
          <a:r>
            <a:rPr lang="ru-RU" sz="1100" b="0" i="0" baseline="0">
              <a:solidFill>
                <a:schemeClr val="dk1"/>
              </a:solidFill>
              <a:effectLst/>
              <a:latin typeface="+mn-lt"/>
              <a:ea typeface="+mn-ea"/>
              <a:cs typeface="+mn-cs"/>
            </a:rPr>
            <a:t>и т. д.</a:t>
          </a:r>
          <a:r>
            <a:rPr lang="en-US" sz="1100" b="0" i="0" baseline="0">
              <a:solidFill>
                <a:schemeClr val="dk1"/>
              </a:solidFill>
              <a:effectLst/>
              <a:latin typeface="+mn-lt"/>
              <a:ea typeface="+mn-ea"/>
              <a:cs typeface="+mn-cs"/>
            </a:rPr>
            <a:t>) </a:t>
          </a:r>
          <a:r>
            <a:rPr lang="ru-RU" sz="1100" b="0" i="0" baseline="0">
              <a:solidFill>
                <a:schemeClr val="dk1"/>
              </a:solidFill>
              <a:effectLst/>
              <a:latin typeface="+mn-lt"/>
              <a:ea typeface="+mn-ea"/>
              <a:cs typeface="+mn-cs"/>
            </a:rPr>
            <a:t>удваивается.</a:t>
          </a:r>
          <a:endParaRPr lang="ru-RU">
            <a:effectLst/>
          </a:endParaRPr>
        </a:p>
        <a:p>
          <a:pPr algn="l"/>
          <a:r>
            <a:rPr lang="ru-RU" sz="1100" b="0" i="0" baseline="0">
              <a:solidFill>
                <a:schemeClr val="dk1"/>
              </a:solidFill>
              <a:effectLst/>
              <a:latin typeface="+mn-lt"/>
              <a:ea typeface="+mn-ea"/>
              <a:cs typeface="+mn-cs"/>
            </a:rPr>
            <a:t>Пользователи программного обеспечения </a:t>
          </a:r>
          <a:r>
            <a:rPr lang="en-US" sz="1100" b="0" i="0" baseline="0">
              <a:solidFill>
                <a:schemeClr val="dk1"/>
              </a:solidFill>
              <a:effectLst/>
              <a:latin typeface="+mn-lt"/>
              <a:ea typeface="+mn-ea"/>
              <a:cs typeface="+mn-cs"/>
            </a:rPr>
            <a:t>Dallas Lock </a:t>
          </a:r>
          <a:r>
            <a:rPr lang="ru-RU" sz="1100" b="0" i="0" baseline="0">
              <a:solidFill>
                <a:schemeClr val="dk1"/>
              </a:solidFill>
              <a:effectLst/>
              <a:latin typeface="+mn-lt"/>
              <a:ea typeface="+mn-ea"/>
              <a:cs typeface="+mn-cs"/>
            </a:rPr>
            <a:t>в рамках гарантийного или непрерывно действующего технического сопровождения имеют право бесплатного обновления лицензий до следующей версии этого решения (с тем же объемом функциональности). Оплачивается только стоимость новых сертифицированных комплектов для установки и 1 год (3 года для лицензий с артикулом </a:t>
          </a:r>
          <a:r>
            <a:rPr lang="en-US" sz="1100" b="0" i="0" baseline="0">
              <a:solidFill>
                <a:schemeClr val="dk1"/>
              </a:solidFill>
              <a:effectLst/>
              <a:latin typeface="+mn-lt"/>
              <a:ea typeface="+mn-ea"/>
              <a:cs typeface="+mn-cs"/>
            </a:rPr>
            <a:t>*</a:t>
          </a:r>
          <a:r>
            <a:rPr lang="ru-RU" sz="1100" b="0" i="0" baseline="0">
              <a:solidFill>
                <a:schemeClr val="dk1"/>
              </a:solidFill>
              <a:effectLst/>
              <a:latin typeface="+mn-lt"/>
              <a:ea typeface="+mn-ea"/>
              <a:cs typeface="+mn-cs"/>
            </a:rPr>
            <a:t>.36</a:t>
          </a:r>
          <a:r>
            <a:rPr lang="en-US" sz="1100" b="0" i="0" baseline="0">
              <a:solidFill>
                <a:schemeClr val="dk1"/>
              </a:solidFill>
              <a:effectLst/>
              <a:latin typeface="+mn-lt"/>
              <a:ea typeface="+mn-ea"/>
              <a:cs typeface="+mn-cs"/>
            </a:rPr>
            <a:t>M</a:t>
          </a:r>
          <a:r>
            <a:rPr lang="ru-RU" sz="1100" b="0" i="0" baseline="0">
              <a:solidFill>
                <a:schemeClr val="dk1"/>
              </a:solidFill>
              <a:effectLst/>
              <a:latin typeface="+mn-lt"/>
              <a:ea typeface="+mn-ea"/>
              <a:cs typeface="+mn-cs"/>
            </a:rPr>
            <a:t>) технической поддержки.</a:t>
          </a:r>
          <a:endParaRPr lang="ru-RU">
            <a:effectLst/>
          </a:endParaRPr>
        </a:p>
        <a:p>
          <a:pPr algn="just">
            <a:lnSpc>
              <a:spcPct val="115000"/>
            </a:lnSpc>
            <a:spcAft>
              <a:spcPts val="0"/>
            </a:spcAft>
          </a:pPr>
          <a:endParaRPr lang="ru-RU" sz="1100" b="0">
            <a:solidFill>
              <a:srgbClr val="000000"/>
            </a:solidFill>
            <a:effectLst/>
            <a:latin typeface="+mn-lt"/>
            <a:ea typeface="Calibri"/>
            <a:cs typeface="Times New Roman"/>
          </a:endParaRPr>
        </a:p>
      </xdr:txBody>
    </xdr:sp>
    <xdr:clientData/>
  </xdr:twoCellAnchor>
  <xdr:twoCellAnchor>
    <xdr:from>
      <xdr:col>1</xdr:col>
      <xdr:colOff>19049</xdr:colOff>
      <xdr:row>57</xdr:row>
      <xdr:rowOff>30482</xdr:rowOff>
    </xdr:from>
    <xdr:to>
      <xdr:col>12</xdr:col>
      <xdr:colOff>63346</xdr:colOff>
      <xdr:row>62</xdr:row>
      <xdr:rowOff>127757</xdr:rowOff>
    </xdr:to>
    <xdr:grpSp>
      <xdr:nvGrpSpPr>
        <xdr:cNvPr id="6" name="Группа 5">
          <a:extLst>
            <a:ext uri="{FF2B5EF4-FFF2-40B4-BE49-F238E27FC236}">
              <a16:creationId xmlns:a16="http://schemas.microsoft.com/office/drawing/2014/main" xmlns="" id="{00000000-0008-0000-0A00-000006000000}"/>
            </a:ext>
          </a:extLst>
        </xdr:cNvPr>
        <xdr:cNvGrpSpPr/>
      </xdr:nvGrpSpPr>
      <xdr:grpSpPr>
        <a:xfrm>
          <a:off x="104774" y="13736957"/>
          <a:ext cx="12077701" cy="1049775"/>
          <a:chOff x="104997" y="14171435"/>
          <a:chExt cx="12829073" cy="1137226"/>
        </a:xfrm>
      </xdr:grpSpPr>
      <xdr:sp macro="" textlink="">
        <xdr:nvSpPr>
          <xdr:cNvPr id="7" name="TextBox 6">
            <a:extLst>
              <a:ext uri="{FF2B5EF4-FFF2-40B4-BE49-F238E27FC236}">
                <a16:creationId xmlns:a16="http://schemas.microsoft.com/office/drawing/2014/main" xmlns="" id="{00000000-0008-0000-0A00-000007000000}"/>
              </a:ext>
            </a:extLst>
          </xdr:cNvPr>
          <xdr:cNvSpPr txBox="1"/>
        </xdr:nvSpPr>
        <xdr:spPr>
          <a:xfrm>
            <a:off x="104997" y="14279958"/>
            <a:ext cx="12424442" cy="102870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baseline="0">
                <a:solidFill>
                  <a:schemeClr val="dk1"/>
                </a:solidFill>
                <a:latin typeface="+mn-lt"/>
                <a:ea typeface="+mn-ea"/>
                <a:cs typeface="Arial" panose="020B0604020202020204" pitchFamily="34" charset="0"/>
              </a:rPr>
              <a:t>* «x» – </a:t>
            </a:r>
            <a:r>
              <a:rPr lang="ru-RU" sz="1100" b="0" i="0" u="none" strike="noStrike" baseline="0">
                <a:solidFill>
                  <a:schemeClr val="dk1"/>
                </a:solidFill>
                <a:latin typeface="+mn-lt"/>
                <a:ea typeface="+mn-ea"/>
                <a:cs typeface="Arial" panose="020B0604020202020204" pitchFamily="34" charset="0"/>
              </a:rPr>
              <a:t>диапазон приобретаемых лицензий по количеству рабочих станций, серверов</a:t>
            </a:r>
            <a:r>
              <a:rPr lang="ru-RU" sz="1100" b="0" i="0" baseline="0">
                <a:solidFill>
                  <a:schemeClr val="dk1"/>
                </a:solidFill>
                <a:effectLst/>
                <a:latin typeface="+mn-lt"/>
                <a:ea typeface="+mn-ea"/>
                <a:cs typeface="+mn-cs"/>
              </a:rPr>
              <a:t>; «</a:t>
            </a:r>
            <a:r>
              <a:rPr lang="en-US" sz="1100" b="0" i="0" baseline="0">
                <a:solidFill>
                  <a:schemeClr val="dk1"/>
                </a:solidFill>
                <a:effectLst/>
                <a:latin typeface="+mn-lt"/>
                <a:ea typeface="+mn-ea"/>
                <a:cs typeface="+mn-cs"/>
              </a:rPr>
              <a:t>z» – </a:t>
            </a:r>
            <a:r>
              <a:rPr lang="ru-RU" sz="1100" b="0" i="0" baseline="0">
                <a:solidFill>
                  <a:schemeClr val="dk1"/>
                </a:solidFill>
                <a:effectLst/>
                <a:latin typeface="+mn-lt"/>
                <a:ea typeface="+mn-ea"/>
                <a:cs typeface="+mn-cs"/>
              </a:rPr>
              <a:t>срок оказания гарантийного сопровождения: </a:t>
            </a:r>
            <a:r>
              <a:rPr lang="en-US" sz="1100" b="0" i="0" baseline="0">
                <a:solidFill>
                  <a:schemeClr val="dk1"/>
                </a:solidFill>
                <a:effectLst/>
                <a:latin typeface="+mn-lt"/>
                <a:ea typeface="+mn-ea"/>
                <a:cs typeface="+mn-cs"/>
              </a:rPr>
              <a:t>12M – </a:t>
            </a:r>
            <a:r>
              <a:rPr lang="ru-RU" sz="1100" b="0" i="0" baseline="0">
                <a:solidFill>
                  <a:schemeClr val="dk1"/>
                </a:solidFill>
                <a:effectLst/>
                <a:latin typeface="+mn-lt"/>
                <a:ea typeface="+mn-ea"/>
                <a:cs typeface="+mn-cs"/>
              </a:rPr>
              <a:t>12 месяцев, 36</a:t>
            </a:r>
            <a:r>
              <a:rPr lang="en-US" sz="1100" b="0" i="0" baseline="0">
                <a:solidFill>
                  <a:schemeClr val="dk1"/>
                </a:solidFill>
                <a:effectLst/>
                <a:latin typeface="+mn-lt"/>
                <a:ea typeface="+mn-ea"/>
                <a:cs typeface="+mn-cs"/>
              </a:rPr>
              <a:t>M – </a:t>
            </a:r>
            <a:r>
              <a:rPr lang="ru-RU" sz="1100" b="0" i="0" baseline="0">
                <a:solidFill>
                  <a:schemeClr val="dk1"/>
                </a:solidFill>
                <a:effectLst/>
                <a:latin typeface="+mn-lt"/>
                <a:ea typeface="+mn-ea"/>
                <a:cs typeface="+mn-cs"/>
              </a:rPr>
              <a:t>36 месяцев.</a:t>
            </a:r>
            <a:endParaRPr lang="ru-RU" sz="1100" b="0" i="0" u="none" strike="noStrike" baseline="0">
              <a:solidFill>
                <a:schemeClr val="dk1"/>
              </a:solidFill>
              <a:latin typeface="+mn-lt"/>
              <a:ea typeface="+mn-ea"/>
              <a:cs typeface="Arial" panose="020B0604020202020204" pitchFamily="34" charset="0"/>
            </a:endParaRPr>
          </a:p>
          <a:p>
            <a:r>
              <a:rPr lang="ru-RU" sz="1100" b="0" i="0" u="none" strike="noStrike" baseline="0">
                <a:solidFill>
                  <a:schemeClr val="dk1"/>
                </a:solidFill>
                <a:latin typeface="+mn-lt"/>
                <a:ea typeface="+mn-ea"/>
                <a:cs typeface="Arial" panose="020B0604020202020204" pitchFamily="34" charset="0"/>
              </a:rPr>
              <a:t>** На основании статьи № 149 п. 2 пп. 26 НК РФ стоимость передаваемых неисключительных прав на используемое программное обеспечение не облагается НДС.</a:t>
            </a:r>
            <a:endParaRPr lang="en-US" sz="1100" b="0" i="0" u="none" strike="noStrike" baseline="0">
              <a:solidFill>
                <a:schemeClr val="dk1"/>
              </a:solidFill>
              <a:latin typeface="+mn-lt"/>
              <a:ea typeface="+mn-ea"/>
              <a:cs typeface="Arial" panose="020B0604020202020204" pitchFamily="34" charset="0"/>
            </a:endParaRPr>
          </a:p>
        </xdr:txBody>
      </xdr:sp>
      <xdr:cxnSp macro="">
        <xdr:nvCxnSpPr>
          <xdr:cNvPr id="8" name="Прямая соединительная линия 7">
            <a:extLst>
              <a:ext uri="{FF2B5EF4-FFF2-40B4-BE49-F238E27FC236}">
                <a16:creationId xmlns:a16="http://schemas.microsoft.com/office/drawing/2014/main" xmlns="" id="{00000000-0008-0000-0A00-000008000000}"/>
              </a:ext>
            </a:extLst>
          </xdr:cNvPr>
          <xdr:cNvCxnSpPr/>
        </xdr:nvCxnSpPr>
        <xdr:spPr>
          <a:xfrm flipV="1">
            <a:off x="115980" y="14171435"/>
            <a:ext cx="12818090" cy="2041"/>
          </a:xfrm>
          <a:prstGeom prst="line">
            <a:avLst/>
          </a:prstGeom>
        </xdr:spPr>
        <xdr:style>
          <a:lnRef idx="1">
            <a:schemeClr val="dk1"/>
          </a:lnRef>
          <a:fillRef idx="0">
            <a:schemeClr val="dk1"/>
          </a:fillRef>
          <a:effectRef idx="0">
            <a:schemeClr val="dk1"/>
          </a:effectRef>
          <a:fontRef idx="minor">
            <a:schemeClr val="tx1"/>
          </a:fontRef>
        </xdr:style>
      </xdr:cxnSp>
    </xdr:grpSp>
    <xdr:clientData/>
  </xdr:twoCellAnchor>
  <xdr:twoCellAnchor editAs="oneCell">
    <xdr:from>
      <xdr:col>1</xdr:col>
      <xdr:colOff>6310</xdr:colOff>
      <xdr:row>53</xdr:row>
      <xdr:rowOff>143925</xdr:rowOff>
    </xdr:from>
    <xdr:to>
      <xdr:col>13</xdr:col>
      <xdr:colOff>76200</xdr:colOff>
      <xdr:row>56</xdr:row>
      <xdr:rowOff>87285</xdr:rowOff>
    </xdr:to>
    <xdr:pic>
      <xdr:nvPicPr>
        <xdr:cNvPr id="10" name="Рисунок 9">
          <a:extLst>
            <a:ext uri="{FF2B5EF4-FFF2-40B4-BE49-F238E27FC236}">
              <a16:creationId xmlns:a16="http://schemas.microsoft.com/office/drawing/2014/main" xmlns="" id="{00000000-0008-0000-0A00-00000A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7750" y="12457845"/>
          <a:ext cx="12505730" cy="49200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xdr:col>
          <xdr:colOff>3762375</xdr:colOff>
          <xdr:row>5</xdr:row>
          <xdr:rowOff>95250</xdr:rowOff>
        </xdr:from>
        <xdr:to>
          <xdr:col>3</xdr:col>
          <xdr:colOff>0</xdr:colOff>
          <xdr:row>7</xdr:row>
          <xdr:rowOff>28575</xdr:rowOff>
        </xdr:to>
        <xdr:sp macro="" textlink="">
          <xdr:nvSpPr>
            <xdr:cNvPr id="14337" name="Check Box 1" hidden="1">
              <a:extLst>
                <a:ext uri="{63B3BB69-23CF-44E3-9099-C40C66FF867C}">
                  <a14:compatExt spid="_x0000_s14337"/>
                </a:ext>
                <a:ext uri="{FF2B5EF4-FFF2-40B4-BE49-F238E27FC236}">
                  <a16:creationId xmlns:a16="http://schemas.microsoft.com/office/drawing/2014/main" xmlns="" id="{00000000-0008-0000-0A00-00000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0</xdr:colOff>
      <xdr:row>2</xdr:row>
      <xdr:rowOff>0</xdr:rowOff>
    </xdr:from>
    <xdr:to>
      <xdr:col>12</xdr:col>
      <xdr:colOff>57630</xdr:colOff>
      <xdr:row>3</xdr:row>
      <xdr:rowOff>8806</xdr:rowOff>
    </xdr:to>
    <xdr:sp macro="" textlink="">
      <xdr:nvSpPr>
        <xdr:cNvPr id="14" name="Прямоугольник 13">
          <a:extLst>
            <a:ext uri="{FF2B5EF4-FFF2-40B4-BE49-F238E27FC236}">
              <a16:creationId xmlns:a16="http://schemas.microsoft.com/office/drawing/2014/main" xmlns="" id="{00000000-0008-0000-0A00-00000E000000}"/>
            </a:ext>
          </a:extLst>
        </xdr:cNvPr>
        <xdr:cNvSpPr/>
      </xdr:nvSpPr>
      <xdr:spPr>
        <a:xfrm>
          <a:off x="0" y="1277471"/>
          <a:ext cx="12193601" cy="3786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editAs="oneCell">
    <xdr:from>
      <xdr:col>0</xdr:col>
      <xdr:colOff>0</xdr:colOff>
      <xdr:row>0</xdr:row>
      <xdr:rowOff>0</xdr:rowOff>
    </xdr:from>
    <xdr:to>
      <xdr:col>12</xdr:col>
      <xdr:colOff>0</xdr:colOff>
      <xdr:row>2</xdr:row>
      <xdr:rowOff>2445</xdr:rowOff>
    </xdr:to>
    <xdr:pic>
      <xdr:nvPicPr>
        <xdr:cNvPr id="15" name="Рисунок 14">
          <a:hlinkClick xmlns:r="http://schemas.openxmlformats.org/officeDocument/2006/relationships" r:id="rId2"/>
          <a:extLst>
            <a:ext uri="{FF2B5EF4-FFF2-40B4-BE49-F238E27FC236}">
              <a16:creationId xmlns:a16="http://schemas.microsoft.com/office/drawing/2014/main" xmlns="" id="{00000000-0008-0000-0A00-00000F000000}"/>
            </a:ext>
          </a:extLst>
        </xdr:cNvPr>
        <xdr:cNvPicPr>
          <a:picLocks noChangeAspect="1"/>
        </xdr:cNvPicPr>
      </xdr:nvPicPr>
      <xdr:blipFill>
        <a:blip xmlns:r="http://schemas.openxmlformats.org/officeDocument/2006/relationships" r:embed="rId3"/>
        <a:stretch>
          <a:fillRect/>
        </a:stretch>
      </xdr:blipFill>
      <xdr:spPr>
        <a:xfrm>
          <a:off x="0" y="0"/>
          <a:ext cx="12201524" cy="127244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10</xdr:col>
          <xdr:colOff>533400</xdr:colOff>
          <xdr:row>5</xdr:row>
          <xdr:rowOff>95250</xdr:rowOff>
        </xdr:from>
        <xdr:to>
          <xdr:col>11</xdr:col>
          <xdr:colOff>76200</xdr:colOff>
          <xdr:row>7</xdr:row>
          <xdr:rowOff>9525</xdr:rowOff>
        </xdr:to>
        <xdr:sp macro="" textlink="">
          <xdr:nvSpPr>
            <xdr:cNvPr id="14338" name="Check Box 2" hidden="1">
              <a:extLst>
                <a:ext uri="{63B3BB69-23CF-44E3-9099-C40C66FF867C}">
                  <a14:compatExt spid="_x0000_s14338"/>
                </a:ext>
                <a:ext uri="{FF2B5EF4-FFF2-40B4-BE49-F238E27FC236}">
                  <a16:creationId xmlns:a16="http://schemas.microsoft.com/office/drawing/2014/main" xmlns="" id="{00000000-0008-0000-0A00-00000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15241</xdr:colOff>
      <xdr:row>50</xdr:row>
      <xdr:rowOff>69850</xdr:rowOff>
    </xdr:from>
    <xdr:to>
      <xdr:col>13</xdr:col>
      <xdr:colOff>45721</xdr:colOff>
      <xdr:row>53</xdr:row>
      <xdr:rowOff>53750</xdr:rowOff>
    </xdr:to>
    <xdr:pic>
      <xdr:nvPicPr>
        <xdr:cNvPr id="9" name="Рисунок 8">
          <a:extLst>
            <a:ext uri="{FF2B5EF4-FFF2-40B4-BE49-F238E27FC236}">
              <a16:creationId xmlns:a16="http://schemas.microsoft.com/office/drawing/2014/main" xmlns="" id="{00000000-0008-0000-0A00-000009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06681" y="11835130"/>
          <a:ext cx="12466320" cy="532540"/>
        </a:xfrm>
        <a:prstGeom prst="rect">
          <a:avLst/>
        </a:prstGeom>
      </xdr:spPr>
    </xdr:pic>
    <xdr:clientData/>
  </xdr:twoCellAnchor>
  <xdr:twoCellAnchor>
    <xdr:from>
      <xdr:col>0</xdr:col>
      <xdr:colOff>0</xdr:colOff>
      <xdr:row>62</xdr:row>
      <xdr:rowOff>168648</xdr:rowOff>
    </xdr:from>
    <xdr:to>
      <xdr:col>11</xdr:col>
      <xdr:colOff>314805</xdr:colOff>
      <xdr:row>64</xdr:row>
      <xdr:rowOff>1522</xdr:rowOff>
    </xdr:to>
    <xdr:sp macro="" textlink="">
      <xdr:nvSpPr>
        <xdr:cNvPr id="20" name="Прямоугольник 19">
          <a:extLst>
            <a:ext uri="{FF2B5EF4-FFF2-40B4-BE49-F238E27FC236}">
              <a16:creationId xmlns:a16="http://schemas.microsoft.com/office/drawing/2014/main" xmlns="" id="{00000000-0008-0000-0A00-000014000000}"/>
            </a:ext>
          </a:extLst>
        </xdr:cNvPr>
        <xdr:cNvSpPr/>
      </xdr:nvSpPr>
      <xdr:spPr>
        <a:xfrm>
          <a:off x="0" y="14557001"/>
          <a:ext cx="11744805" cy="38196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0</xdr:col>
      <xdr:colOff>76199</xdr:colOff>
      <xdr:row>63</xdr:row>
      <xdr:rowOff>2802</xdr:rowOff>
    </xdr:from>
    <xdr:to>
      <xdr:col>11</xdr:col>
      <xdr:colOff>377558</xdr:colOff>
      <xdr:row>64</xdr:row>
      <xdr:rowOff>26176</xdr:rowOff>
    </xdr:to>
    <xdr:sp macro="" textlink="">
      <xdr:nvSpPr>
        <xdr:cNvPr id="21" name="Прямоугольник 20">
          <a:extLst>
            <a:ext uri="{FF2B5EF4-FFF2-40B4-BE49-F238E27FC236}">
              <a16:creationId xmlns:a16="http://schemas.microsoft.com/office/drawing/2014/main" xmlns="" id="{00000000-0008-0000-0A00-000015000000}"/>
            </a:ext>
          </a:extLst>
        </xdr:cNvPr>
        <xdr:cNvSpPr/>
      </xdr:nvSpPr>
      <xdr:spPr>
        <a:xfrm>
          <a:off x="76199" y="14581655"/>
          <a:ext cx="11731359" cy="38196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mc:AlternateContent xmlns:mc="http://schemas.openxmlformats.org/markup-compatibility/2006">
    <mc:Choice xmlns:a14="http://schemas.microsoft.com/office/drawing/2010/main" Requires="a14">
      <xdr:twoCellAnchor editAs="oneCell">
        <xdr:from>
          <xdr:col>2</xdr:col>
          <xdr:colOff>3724275</xdr:colOff>
          <xdr:row>65</xdr:row>
          <xdr:rowOff>85725</xdr:rowOff>
        </xdr:from>
        <xdr:to>
          <xdr:col>3</xdr:col>
          <xdr:colOff>0</xdr:colOff>
          <xdr:row>67</xdr:row>
          <xdr:rowOff>19050</xdr:rowOff>
        </xdr:to>
        <xdr:sp macro="" textlink="">
          <xdr:nvSpPr>
            <xdr:cNvPr id="14341" name="Check Box 5" hidden="1">
              <a:extLst>
                <a:ext uri="{63B3BB69-23CF-44E3-9099-C40C66FF867C}">
                  <a14:compatExt spid="_x0000_s14341"/>
                </a:ext>
                <a:ext uri="{FF2B5EF4-FFF2-40B4-BE49-F238E27FC236}">
                  <a16:creationId xmlns:a16="http://schemas.microsoft.com/office/drawing/2014/main" xmlns="" id="{00000000-0008-0000-0A00-00000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533400</xdr:colOff>
          <xdr:row>65</xdr:row>
          <xdr:rowOff>85725</xdr:rowOff>
        </xdr:from>
        <xdr:to>
          <xdr:col>11</xdr:col>
          <xdr:colOff>95250</xdr:colOff>
          <xdr:row>67</xdr:row>
          <xdr:rowOff>19050</xdr:rowOff>
        </xdr:to>
        <xdr:sp macro="" textlink="">
          <xdr:nvSpPr>
            <xdr:cNvPr id="14342" name="Check Box 6" hidden="1">
              <a:extLst>
                <a:ext uri="{63B3BB69-23CF-44E3-9099-C40C66FF867C}">
                  <a14:compatExt spid="_x0000_s14342"/>
                </a:ext>
                <a:ext uri="{FF2B5EF4-FFF2-40B4-BE49-F238E27FC236}">
                  <a16:creationId xmlns:a16="http://schemas.microsoft.com/office/drawing/2014/main" xmlns="" id="{00000000-0008-0000-0A00-00000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8282</xdr:colOff>
      <xdr:row>75</xdr:row>
      <xdr:rowOff>26086</xdr:rowOff>
    </xdr:from>
    <xdr:to>
      <xdr:col>13</xdr:col>
      <xdr:colOff>94009</xdr:colOff>
      <xdr:row>77</xdr:row>
      <xdr:rowOff>175795</xdr:rowOff>
    </xdr:to>
    <xdr:pic>
      <xdr:nvPicPr>
        <xdr:cNvPr id="24" name="Рисунок 23">
          <a:extLst>
            <a:ext uri="{FF2B5EF4-FFF2-40B4-BE49-F238E27FC236}">
              <a16:creationId xmlns:a16="http://schemas.microsoft.com/office/drawing/2014/main" xmlns="" id="{00000000-0008-0000-0A00-000018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8282" y="19285636"/>
          <a:ext cx="12268202" cy="530709"/>
        </a:xfrm>
        <a:prstGeom prst="rect">
          <a:avLst/>
        </a:prstGeom>
      </xdr:spPr>
    </xdr:pic>
    <xdr:clientData/>
  </xdr:twoCellAnchor>
  <xdr:twoCellAnchor>
    <xdr:from>
      <xdr:col>0</xdr:col>
      <xdr:colOff>0</xdr:colOff>
      <xdr:row>79</xdr:row>
      <xdr:rowOff>66261</xdr:rowOff>
    </xdr:from>
    <xdr:to>
      <xdr:col>2</xdr:col>
      <xdr:colOff>3899866</xdr:colOff>
      <xdr:row>106</xdr:row>
      <xdr:rowOff>11914</xdr:rowOff>
    </xdr:to>
    <xdr:sp macro="" textlink="">
      <xdr:nvSpPr>
        <xdr:cNvPr id="25" name="TextBox 24">
          <a:extLst>
            <a:ext uri="{FF2B5EF4-FFF2-40B4-BE49-F238E27FC236}">
              <a16:creationId xmlns:a16="http://schemas.microsoft.com/office/drawing/2014/main" xmlns="" id="{00000000-0008-0000-0A00-000019000000}"/>
            </a:ext>
          </a:extLst>
        </xdr:cNvPr>
        <xdr:cNvSpPr txBox="1"/>
      </xdr:nvSpPr>
      <xdr:spPr>
        <a:xfrm>
          <a:off x="0" y="20060478"/>
          <a:ext cx="5705475" cy="508915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ru-RU" sz="1100" b="1" i="0" u="none" strike="noStrike" baseline="0">
              <a:solidFill>
                <a:schemeClr val="dk1"/>
              </a:solidFill>
              <a:latin typeface="+mn-lt"/>
              <a:ea typeface="+mn-ea"/>
              <a:cs typeface="Arial" panose="020B0604020202020204" pitchFamily="34" charset="0"/>
            </a:rPr>
            <a:t>Основные возможности Сервера лицензий</a:t>
          </a:r>
        </a:p>
        <a:p>
          <a:pPr algn="l"/>
          <a:r>
            <a:rPr lang="ru-RU" sz="1100" b="0" i="0" u="none" strike="noStrike" baseline="0">
              <a:solidFill>
                <a:schemeClr val="dk1"/>
              </a:solidFill>
              <a:latin typeface="+mn-lt"/>
              <a:ea typeface="+mn-ea"/>
              <a:cs typeface="Arial" panose="020B0604020202020204" pitchFamily="34" charset="0"/>
            </a:rPr>
            <a:t>• Мониторинг и информирование администраторов безопасности о состоянии технической поддержки по использующимся лицензиям, автоматизированный запрос стоимости продления технической поддержки.</a:t>
          </a:r>
        </a:p>
        <a:p>
          <a:pPr algn="l"/>
          <a:r>
            <a:rPr lang="ru-RU" sz="1100" b="0" i="0" u="none" strike="noStrike" baseline="0">
              <a:solidFill>
                <a:schemeClr val="dk1"/>
              </a:solidFill>
              <a:latin typeface="+mn-lt"/>
              <a:ea typeface="+mn-ea"/>
              <a:cs typeface="Arial" panose="020B0604020202020204" pitchFamily="34" charset="0"/>
            </a:rPr>
            <a:t>• Перераспределение квот на терминальные подключения между терминальными</a:t>
          </a:r>
          <a:r>
            <a:rPr lang="en-US" sz="1100" b="0" i="0" u="none" strike="noStrike" baseline="0">
              <a:solidFill>
                <a:schemeClr val="dk1"/>
              </a:solidFill>
              <a:latin typeface="+mn-lt"/>
              <a:ea typeface="+mn-ea"/>
              <a:cs typeface="Arial" panose="020B0604020202020204" pitchFamily="34" charset="0"/>
            </a:rPr>
            <a:t> </a:t>
          </a:r>
          <a:r>
            <a:rPr lang="ru-RU" sz="1100" b="0" i="0" u="none" strike="noStrike" baseline="0">
              <a:solidFill>
                <a:schemeClr val="dk1"/>
              </a:solidFill>
              <a:latin typeface="+mn-lt"/>
              <a:ea typeface="+mn-ea"/>
              <a:cs typeface="Arial" panose="020B0604020202020204" pitchFamily="34" charset="0"/>
            </a:rPr>
            <a:t>серверами или на количество клиентов </a:t>
          </a:r>
          <a:r>
            <a:rPr lang="en-US" sz="1100" b="0" i="0" u="none" strike="noStrike" baseline="0">
              <a:solidFill>
                <a:schemeClr val="dk1"/>
              </a:solidFill>
              <a:latin typeface="+mn-lt"/>
              <a:ea typeface="+mn-ea"/>
              <a:cs typeface="Arial" panose="020B0604020202020204" pitchFamily="34" charset="0"/>
            </a:rPr>
            <a:t>Dallas Lock </a:t>
          </a:r>
          <a:r>
            <a:rPr lang="ru-RU" sz="1100" b="0" i="0" u="none" strike="noStrike" baseline="0">
              <a:solidFill>
                <a:schemeClr val="dk1"/>
              </a:solidFill>
              <a:latin typeface="+mn-lt"/>
              <a:ea typeface="+mn-ea"/>
              <a:cs typeface="Arial" panose="020B0604020202020204" pitchFamily="34" charset="0"/>
            </a:rPr>
            <a:t>между Серверами безопасности.</a:t>
          </a:r>
        </a:p>
        <a:p>
          <a:pPr algn="l"/>
          <a:r>
            <a:rPr lang="ru-RU" sz="1100" b="0" i="0" u="none" strike="noStrike" baseline="0">
              <a:solidFill>
                <a:schemeClr val="dk1"/>
              </a:solidFill>
              <a:latin typeface="+mn-lt"/>
              <a:ea typeface="+mn-ea"/>
              <a:cs typeface="Arial" panose="020B0604020202020204" pitchFamily="34" charset="0"/>
            </a:rPr>
            <a:t>• Создание новых доменов безопасности </a:t>
          </a:r>
          <a:r>
            <a:rPr lang="en-US" sz="1100" b="0" i="0" u="none" strike="noStrike" baseline="0">
              <a:solidFill>
                <a:schemeClr val="dk1"/>
              </a:solidFill>
              <a:latin typeface="+mn-lt"/>
              <a:ea typeface="+mn-ea"/>
              <a:cs typeface="Arial" panose="020B0604020202020204" pitchFamily="34" charset="0"/>
            </a:rPr>
            <a:t>Dallas Lock </a:t>
          </a:r>
          <a:r>
            <a:rPr lang="ru-RU" sz="1100" b="0" i="0" u="none" strike="noStrike" baseline="0">
              <a:solidFill>
                <a:schemeClr val="dk1"/>
              </a:solidFill>
              <a:latin typeface="+mn-lt"/>
              <a:ea typeface="+mn-ea"/>
              <a:cs typeface="Arial" panose="020B0604020202020204" pitchFamily="34" charset="0"/>
            </a:rPr>
            <a:t>в рамках общей квоты</a:t>
          </a:r>
          <a:r>
            <a:rPr lang="en-US" sz="1100" b="0" i="0" u="none" strike="noStrike" baseline="0">
              <a:solidFill>
                <a:schemeClr val="dk1"/>
              </a:solidFill>
              <a:latin typeface="+mn-lt"/>
              <a:ea typeface="+mn-ea"/>
              <a:cs typeface="Arial" panose="020B0604020202020204" pitchFamily="34" charset="0"/>
            </a:rPr>
            <a:t> </a:t>
          </a:r>
          <a:r>
            <a:rPr lang="ru-RU" sz="1100" b="0" i="0" u="none" strike="noStrike" baseline="0">
              <a:solidFill>
                <a:schemeClr val="dk1"/>
              </a:solidFill>
              <a:latin typeface="+mn-lt"/>
              <a:ea typeface="+mn-ea"/>
              <a:cs typeface="Arial" panose="020B0604020202020204" pitchFamily="34" charset="0"/>
            </a:rPr>
            <a:t>клиентских лицензий, назначение дополнительных терминальных серверов</a:t>
          </a:r>
          <a:r>
            <a:rPr lang="en-US" sz="1100" b="0" i="0" u="none" strike="noStrike" baseline="0">
              <a:solidFill>
                <a:schemeClr val="dk1"/>
              </a:solidFill>
              <a:latin typeface="+mn-lt"/>
              <a:ea typeface="+mn-ea"/>
              <a:cs typeface="Arial" panose="020B0604020202020204" pitchFamily="34" charset="0"/>
            </a:rPr>
            <a:t> </a:t>
          </a:r>
          <a:r>
            <a:rPr lang="ru-RU" sz="1100" b="0" i="0" u="none" strike="noStrike" baseline="0">
              <a:solidFill>
                <a:schemeClr val="dk1"/>
              </a:solidFill>
              <a:latin typeface="+mn-lt"/>
              <a:ea typeface="+mn-ea"/>
              <a:cs typeface="Arial" panose="020B0604020202020204" pitchFamily="34" charset="0"/>
            </a:rPr>
            <a:t>в рамках общей квоты</a:t>
          </a:r>
          <a:r>
            <a:rPr lang="en-US" sz="1100" b="0" i="0" u="none" strike="noStrike" baseline="0">
              <a:solidFill>
                <a:schemeClr val="dk1"/>
              </a:solidFill>
              <a:latin typeface="+mn-lt"/>
              <a:ea typeface="+mn-ea"/>
              <a:cs typeface="Arial" panose="020B0604020202020204" pitchFamily="34" charset="0"/>
            </a:rPr>
            <a:t> </a:t>
          </a:r>
          <a:r>
            <a:rPr lang="ru-RU" sz="1100" b="0" i="0" u="none" strike="noStrike" baseline="0">
              <a:solidFill>
                <a:schemeClr val="dk1"/>
              </a:solidFill>
              <a:latin typeface="+mn-lt"/>
              <a:ea typeface="+mn-ea"/>
              <a:cs typeface="Arial" panose="020B0604020202020204" pitchFamily="34" charset="0"/>
            </a:rPr>
            <a:t>лицензий на терминальные подключения к </a:t>
          </a:r>
          <a:r>
            <a:rPr lang="en-US" sz="1100" b="0" i="0" u="none" strike="noStrike" baseline="0">
              <a:solidFill>
                <a:schemeClr val="dk1"/>
              </a:solidFill>
              <a:latin typeface="+mn-lt"/>
              <a:ea typeface="+mn-ea"/>
              <a:cs typeface="Arial" panose="020B0604020202020204" pitchFamily="34" charset="0"/>
            </a:rPr>
            <a:t>Dallas Lock.</a:t>
          </a:r>
        </a:p>
        <a:p>
          <a:pPr algn="l"/>
          <a:r>
            <a:rPr lang="ru-RU" sz="1100" b="0" i="0" u="none" strike="noStrike" baseline="0">
              <a:solidFill>
                <a:schemeClr val="dk1"/>
              </a:solidFill>
              <a:latin typeface="+mn-lt"/>
              <a:ea typeface="+mn-ea"/>
              <a:cs typeface="Arial" panose="020B0604020202020204" pitchFamily="34" charset="0"/>
            </a:rPr>
            <a:t>• Перераспределение квот на количество процессоров гипервизоров для</a:t>
          </a:r>
          <a:r>
            <a:rPr lang="en-US" sz="1100" b="0" i="0" u="none" strike="noStrike" baseline="0">
              <a:solidFill>
                <a:schemeClr val="dk1"/>
              </a:solidFill>
              <a:latin typeface="+mn-lt"/>
              <a:ea typeface="+mn-ea"/>
              <a:cs typeface="Arial" panose="020B0604020202020204" pitchFamily="34" charset="0"/>
            </a:rPr>
            <a:t> </a:t>
          </a:r>
          <a:r>
            <a:rPr lang="ru-RU" sz="1100" b="0" i="0" u="none" strike="noStrike" baseline="0">
              <a:solidFill>
                <a:schemeClr val="dk1"/>
              </a:solidFill>
              <a:latin typeface="+mn-lt"/>
              <a:ea typeface="+mn-ea"/>
              <a:cs typeface="Arial" panose="020B0604020202020204" pitchFamily="34" charset="0"/>
            </a:rPr>
            <a:t>СЗИ ВИ </a:t>
          </a:r>
          <a:r>
            <a:rPr lang="en-US" sz="1100" b="0" i="0" u="none" strike="noStrike" baseline="0">
              <a:solidFill>
                <a:schemeClr val="dk1"/>
              </a:solidFill>
              <a:latin typeface="+mn-lt"/>
              <a:ea typeface="+mn-ea"/>
              <a:cs typeface="Arial" panose="020B0604020202020204" pitchFamily="34" charset="0"/>
            </a:rPr>
            <a:t>Dallas Lock.</a:t>
          </a:r>
        </a:p>
        <a:p>
          <a:pPr algn="l"/>
          <a:r>
            <a:rPr lang="ru-RU" sz="1100" b="0" i="0" u="none" strike="noStrike" baseline="0">
              <a:solidFill>
                <a:schemeClr val="dk1"/>
              </a:solidFill>
              <a:latin typeface="+mn-lt"/>
              <a:ea typeface="+mn-ea"/>
              <a:cs typeface="Arial" panose="020B0604020202020204" pitchFamily="34" charset="0"/>
            </a:rPr>
            <a:t>• Сокращение затрат на внедрение, администрирование и модернизацию</a:t>
          </a:r>
          <a:r>
            <a:rPr lang="en-US" sz="1100" b="0" i="0" u="none" strike="noStrike" baseline="0">
              <a:solidFill>
                <a:schemeClr val="dk1"/>
              </a:solidFill>
              <a:latin typeface="+mn-lt"/>
              <a:ea typeface="+mn-ea"/>
              <a:cs typeface="Arial" panose="020B0604020202020204" pitchFamily="34" charset="0"/>
            </a:rPr>
            <a:t> Dallas Lock </a:t>
          </a:r>
          <a:r>
            <a:rPr lang="ru-RU" sz="1100" b="0" i="0" u="none" strike="noStrike" baseline="0">
              <a:solidFill>
                <a:schemeClr val="dk1"/>
              </a:solidFill>
              <a:latin typeface="+mn-lt"/>
              <a:ea typeface="+mn-ea"/>
              <a:cs typeface="Arial" panose="020B0604020202020204" pitchFamily="34" charset="0"/>
            </a:rPr>
            <a:t>в распределенных инфраструктурах.</a:t>
          </a:r>
        </a:p>
        <a:p>
          <a:pPr algn="l"/>
          <a:r>
            <a:rPr lang="ru-RU" sz="1100" b="0" i="0" u="none" strike="noStrike" baseline="0">
              <a:solidFill>
                <a:schemeClr val="dk1"/>
              </a:solidFill>
              <a:latin typeface="+mn-lt"/>
              <a:ea typeface="+mn-ea"/>
              <a:cs typeface="Arial" panose="020B0604020202020204" pitchFamily="34" charset="0"/>
            </a:rPr>
            <a:t>• Сокращение затрат на приобретение и обновление лицензий на Серверы</a:t>
          </a:r>
          <a:r>
            <a:rPr lang="en-US" sz="1100" b="0" i="0" u="none" strike="noStrike" baseline="0">
              <a:solidFill>
                <a:schemeClr val="dk1"/>
              </a:solidFill>
              <a:latin typeface="+mn-lt"/>
              <a:ea typeface="+mn-ea"/>
              <a:cs typeface="Arial" panose="020B0604020202020204" pitchFamily="34" charset="0"/>
            </a:rPr>
            <a:t> </a:t>
          </a:r>
          <a:r>
            <a:rPr lang="ru-RU" sz="1100" b="0" i="0" u="none" strike="noStrike" baseline="0">
              <a:solidFill>
                <a:schemeClr val="dk1"/>
              </a:solidFill>
              <a:latin typeface="+mn-lt"/>
              <a:ea typeface="+mn-ea"/>
              <a:cs typeface="Arial" panose="020B0604020202020204" pitchFamily="34" charset="0"/>
            </a:rPr>
            <a:t>безопасности </a:t>
          </a:r>
          <a:r>
            <a:rPr lang="en-US" sz="1100" b="0" i="0" u="none" strike="noStrike" baseline="0">
              <a:solidFill>
                <a:schemeClr val="dk1"/>
              </a:solidFill>
              <a:latin typeface="+mn-lt"/>
              <a:ea typeface="+mn-ea"/>
              <a:cs typeface="Arial" panose="020B0604020202020204" pitchFamily="34" charset="0"/>
            </a:rPr>
            <a:t>Dallas Lock </a:t>
          </a:r>
          <a:r>
            <a:rPr lang="ru-RU" sz="1100" b="0" i="0" u="none" strike="noStrike" baseline="0">
              <a:solidFill>
                <a:schemeClr val="dk1"/>
              </a:solidFill>
              <a:latin typeface="+mn-lt"/>
              <a:ea typeface="+mn-ea"/>
              <a:cs typeface="Arial" panose="020B0604020202020204" pitchFamily="34" charset="0"/>
            </a:rPr>
            <a:t>и терминальные подключения.</a:t>
          </a:r>
        </a:p>
        <a:p>
          <a:pPr algn="l"/>
          <a:r>
            <a:rPr lang="ru-RU" sz="1100" b="0" i="0" u="none" strike="noStrike" baseline="0">
              <a:solidFill>
                <a:schemeClr val="dk1"/>
              </a:solidFill>
              <a:latin typeface="+mn-lt"/>
              <a:ea typeface="+mn-ea"/>
              <a:cs typeface="Arial" panose="020B0604020202020204" pitchFamily="34" charset="0"/>
            </a:rPr>
            <a:t>• Повышение надежности комплексной системы защиты информации за счет</a:t>
          </a:r>
          <a:r>
            <a:rPr lang="en-US" sz="1100" b="0" i="0" u="none" strike="noStrike" baseline="0">
              <a:solidFill>
                <a:schemeClr val="dk1"/>
              </a:solidFill>
              <a:latin typeface="+mn-lt"/>
              <a:ea typeface="+mn-ea"/>
              <a:cs typeface="Arial" panose="020B0604020202020204" pitchFamily="34" charset="0"/>
            </a:rPr>
            <a:t> </a:t>
          </a:r>
          <a:r>
            <a:rPr lang="ru-RU" sz="1100" b="0" i="0" u="none" strike="noStrike" baseline="0">
              <a:solidFill>
                <a:schemeClr val="dk1"/>
              </a:solidFill>
              <a:latin typeface="+mn-lt"/>
              <a:ea typeface="+mn-ea"/>
              <a:cs typeface="Arial" panose="020B0604020202020204" pitchFamily="34" charset="0"/>
            </a:rPr>
            <a:t>создания</a:t>
          </a:r>
          <a:r>
            <a:rPr lang="en-US" sz="1100" b="0" i="0" u="none" strike="noStrike" baseline="0">
              <a:solidFill>
                <a:schemeClr val="dk1"/>
              </a:solidFill>
              <a:latin typeface="+mn-lt"/>
              <a:ea typeface="+mn-ea"/>
              <a:cs typeface="Arial" panose="020B0604020202020204" pitchFamily="34" charset="0"/>
            </a:rPr>
            <a:t> </a:t>
          </a:r>
          <a:r>
            <a:rPr lang="ru-RU" sz="1100" b="0" i="0" u="none" strike="noStrike" baseline="0">
              <a:solidFill>
                <a:schemeClr val="dk1"/>
              </a:solidFill>
              <a:latin typeface="+mn-lt"/>
              <a:ea typeface="+mn-ea"/>
              <a:cs typeface="Arial" panose="020B0604020202020204" pitchFamily="34" charset="0"/>
            </a:rPr>
            <a:t>реплицируемых доменов безопасности и работы с фермами терминальных серверов.</a:t>
          </a:r>
        </a:p>
        <a:p>
          <a:pPr algn="l"/>
          <a:endParaRPr lang="en-US" sz="1100" b="1" i="0" u="none" strike="noStrike" baseline="0">
            <a:solidFill>
              <a:schemeClr val="dk1"/>
            </a:solidFill>
            <a:latin typeface="+mn-lt"/>
            <a:ea typeface="+mn-ea"/>
            <a:cs typeface="Arial" panose="020B0604020202020204" pitchFamily="34" charset="0"/>
          </a:endParaRPr>
        </a:p>
        <a:p>
          <a:pPr algn="l"/>
          <a:r>
            <a:rPr lang="ru-RU" sz="1100" b="1" i="0" u="none" strike="noStrike" baseline="0">
              <a:solidFill>
                <a:schemeClr val="dk1"/>
              </a:solidFill>
              <a:latin typeface="+mn-lt"/>
              <a:ea typeface="+mn-ea"/>
              <a:cs typeface="Arial" panose="020B0604020202020204" pitchFamily="34" charset="0"/>
            </a:rPr>
            <a:t>Сервер лицензий </a:t>
          </a:r>
          <a:r>
            <a:rPr lang="en-US" sz="1100" b="1" i="0" u="none" strike="noStrike" baseline="0">
              <a:solidFill>
                <a:schemeClr val="dk1"/>
              </a:solidFill>
              <a:latin typeface="+mn-lt"/>
              <a:ea typeface="+mn-ea"/>
              <a:cs typeface="Arial" panose="020B0604020202020204" pitchFamily="34" charset="0"/>
            </a:rPr>
            <a:t>Dallas Lock 8</a:t>
          </a:r>
          <a:r>
            <a:rPr lang="ru-RU" sz="1100" b="1" i="0" u="none" strike="noStrike" baseline="0">
              <a:solidFill>
                <a:schemeClr val="dk1"/>
              </a:solidFill>
              <a:latin typeface="+mn-lt"/>
              <a:ea typeface="+mn-ea"/>
              <a:cs typeface="Arial" panose="020B0604020202020204" pitchFamily="34" charset="0"/>
            </a:rPr>
            <a:t>.0</a:t>
          </a:r>
          <a:endParaRPr lang="en-US" sz="1100" b="1" i="0" u="none" strike="noStrike" baseline="0">
            <a:solidFill>
              <a:schemeClr val="dk1"/>
            </a:solidFill>
            <a:latin typeface="+mn-lt"/>
            <a:ea typeface="+mn-ea"/>
            <a:cs typeface="Arial" panose="020B0604020202020204" pitchFamily="34" charset="0"/>
          </a:endParaRPr>
        </a:p>
        <a:p>
          <a:pPr algn="l"/>
          <a:r>
            <a:rPr lang="ru-RU" sz="1100" b="0" i="0" u="none" strike="noStrike" baseline="0">
              <a:solidFill>
                <a:schemeClr val="dk1"/>
              </a:solidFill>
              <a:latin typeface="+mn-lt"/>
              <a:ea typeface="+mn-ea"/>
              <a:cs typeface="Arial" panose="020B0604020202020204" pitchFamily="34" charset="0"/>
            </a:rPr>
            <a:t>Рекомендуется применение в виртуализированной инфраструктуре, при</a:t>
          </a:r>
          <a:r>
            <a:rPr lang="en-US" sz="1100" b="0" i="0" u="none" strike="noStrike" baseline="0">
              <a:solidFill>
                <a:schemeClr val="dk1"/>
              </a:solidFill>
              <a:latin typeface="+mn-lt"/>
              <a:ea typeface="+mn-ea"/>
              <a:cs typeface="Arial" panose="020B0604020202020204" pitchFamily="34" charset="0"/>
            </a:rPr>
            <a:t> </a:t>
          </a:r>
          <a:r>
            <a:rPr lang="ru-RU" sz="1100" b="0" i="0" u="none" strike="noStrike" baseline="0">
              <a:solidFill>
                <a:schemeClr val="dk1"/>
              </a:solidFill>
              <a:latin typeface="+mn-lt"/>
              <a:ea typeface="+mn-ea"/>
              <a:cs typeface="Arial" panose="020B0604020202020204" pitchFamily="34" charset="0"/>
            </a:rPr>
            <a:t>построении</a:t>
          </a:r>
          <a:r>
            <a:rPr lang="en-US" sz="1100" b="0" i="0" u="none" strike="noStrike" baseline="0">
              <a:solidFill>
                <a:schemeClr val="dk1"/>
              </a:solidFill>
              <a:latin typeface="+mn-lt"/>
              <a:ea typeface="+mn-ea"/>
              <a:cs typeface="Arial" panose="020B0604020202020204" pitchFamily="34" charset="0"/>
            </a:rPr>
            <a:t> </a:t>
          </a:r>
          <a:r>
            <a:rPr lang="ru-RU" sz="1100" b="0" i="0" u="none" strike="noStrike" baseline="0">
              <a:solidFill>
                <a:schemeClr val="dk1"/>
              </a:solidFill>
              <a:latin typeface="+mn-lt"/>
              <a:ea typeface="+mn-ea"/>
              <a:cs typeface="Arial" panose="020B0604020202020204" pitchFamily="34" charset="0"/>
            </a:rPr>
            <a:t>отказоустойчивых терминальных систем и кластеров безопасности, а также при</a:t>
          </a:r>
          <a:r>
            <a:rPr lang="en-US" sz="1100" b="0" i="0" u="none" strike="noStrike" baseline="0">
              <a:solidFill>
                <a:schemeClr val="dk1"/>
              </a:solidFill>
              <a:latin typeface="+mn-lt"/>
              <a:ea typeface="+mn-ea"/>
              <a:cs typeface="Arial" panose="020B0604020202020204" pitchFamily="34" charset="0"/>
            </a:rPr>
            <a:t> </a:t>
          </a:r>
          <a:r>
            <a:rPr lang="ru-RU" sz="1100" b="0" i="0" u="none" strike="noStrike" baseline="0">
              <a:solidFill>
                <a:schemeClr val="dk1"/>
              </a:solidFill>
              <a:latin typeface="+mn-lt"/>
              <a:ea typeface="+mn-ea"/>
              <a:cs typeface="Arial" panose="020B0604020202020204" pitchFamily="34" charset="0"/>
            </a:rPr>
            <a:t>необходимости гибкого перераспределения общей квоты</a:t>
          </a:r>
          <a:r>
            <a:rPr lang="en-US" sz="1100" b="0" i="0" u="none" strike="noStrike" baseline="0">
              <a:solidFill>
                <a:schemeClr val="dk1"/>
              </a:solidFill>
              <a:latin typeface="+mn-lt"/>
              <a:ea typeface="+mn-ea"/>
              <a:cs typeface="Arial" panose="020B0604020202020204" pitchFamily="34" charset="0"/>
            </a:rPr>
            <a:t> </a:t>
          </a:r>
          <a:r>
            <a:rPr lang="ru-RU" sz="1100" b="0" i="0" u="none" strike="noStrike" baseline="0">
              <a:solidFill>
                <a:schemeClr val="dk1"/>
              </a:solidFill>
              <a:latin typeface="+mn-lt"/>
              <a:ea typeface="+mn-ea"/>
              <a:cs typeface="Arial" panose="020B0604020202020204" pitchFamily="34" charset="0"/>
            </a:rPr>
            <a:t>клиентских лицензий </a:t>
          </a:r>
          <a:r>
            <a:rPr lang="en-US" sz="1100" b="0" i="0" u="none" strike="noStrike" baseline="0">
              <a:solidFill>
                <a:schemeClr val="dk1"/>
              </a:solidFill>
              <a:latin typeface="+mn-lt"/>
              <a:ea typeface="+mn-ea"/>
              <a:cs typeface="Arial" panose="020B0604020202020204" pitchFamily="34" charset="0"/>
            </a:rPr>
            <a:t>Dallas Lock </a:t>
          </a:r>
          <a:r>
            <a:rPr lang="ru-RU" sz="1100" b="0" i="0" u="none" strike="noStrike" baseline="0">
              <a:solidFill>
                <a:schemeClr val="dk1"/>
              </a:solidFill>
              <a:latin typeface="+mn-lt"/>
              <a:ea typeface="+mn-ea"/>
              <a:cs typeface="Arial" panose="020B0604020202020204" pitchFamily="34" charset="0"/>
            </a:rPr>
            <a:t>между Серверами безопасности </a:t>
          </a:r>
          <a:r>
            <a:rPr lang="en-US" sz="1100" b="0" i="0" u="none" strike="noStrike" baseline="0">
              <a:solidFill>
                <a:schemeClr val="dk1"/>
              </a:solidFill>
              <a:latin typeface="+mn-lt"/>
              <a:ea typeface="+mn-ea"/>
              <a:cs typeface="Arial" panose="020B0604020202020204" pitchFamily="34" charset="0"/>
            </a:rPr>
            <a:t>Dallas Lock.</a:t>
          </a:r>
        </a:p>
        <a:p>
          <a:pPr algn="l"/>
          <a:endParaRPr lang="en-US" sz="1100" b="0" i="0" u="none" strike="noStrike" baseline="0">
            <a:solidFill>
              <a:schemeClr val="dk1"/>
            </a:solidFill>
            <a:latin typeface="+mn-lt"/>
            <a:ea typeface="+mn-ea"/>
            <a:cs typeface="Arial" panose="020B0604020202020204" pitchFamily="34" charset="0"/>
          </a:endParaRPr>
        </a:p>
        <a:p>
          <a:pPr algn="l"/>
          <a:r>
            <a:rPr lang="ru-RU" sz="1100" b="0" i="0" u="none" strike="noStrike" baseline="0">
              <a:solidFill>
                <a:schemeClr val="dk1"/>
              </a:solidFill>
              <a:latin typeface="+mn-lt"/>
              <a:ea typeface="+mn-ea"/>
              <a:cs typeface="Arial" panose="020B0604020202020204" pitchFamily="34" charset="0"/>
            </a:rPr>
            <a:t>Для функционирования Сервера лицензий необходимо приобретение лицензий на Серверы безопасности </a:t>
          </a:r>
          <a:r>
            <a:rPr lang="en-US" sz="1100" b="0" i="0" u="none" strike="noStrike" baseline="0">
              <a:solidFill>
                <a:schemeClr val="dk1"/>
              </a:solidFill>
              <a:latin typeface="+mn-lt"/>
              <a:ea typeface="+mn-ea"/>
              <a:cs typeface="Arial" panose="020B0604020202020204" pitchFamily="34" charset="0"/>
            </a:rPr>
            <a:t>Dallas Lock (</a:t>
          </a:r>
          <a:r>
            <a:rPr lang="ru-RU" sz="1100" b="0" i="0" u="none" strike="noStrike" baseline="0">
              <a:solidFill>
                <a:schemeClr val="dk1"/>
              </a:solidFill>
              <a:latin typeface="+mn-lt"/>
              <a:ea typeface="+mn-ea"/>
              <a:cs typeface="Arial" panose="020B0604020202020204" pitchFamily="34" charset="0"/>
            </a:rPr>
            <a:t>общая квота клиентских лицензий</a:t>
          </a:r>
          <a:r>
            <a:rPr lang="en-US" sz="1100" b="0" i="0" u="none" strike="noStrike" baseline="0">
              <a:solidFill>
                <a:schemeClr val="dk1"/>
              </a:solidFill>
              <a:latin typeface="+mn-lt"/>
              <a:ea typeface="+mn-ea"/>
              <a:cs typeface="Arial" panose="020B0604020202020204" pitchFamily="34" charset="0"/>
            </a:rPr>
            <a:t> </a:t>
          </a:r>
          <a:r>
            <a:rPr lang="ru-RU" sz="1100" b="0" i="0" u="none" strike="noStrike" baseline="0">
              <a:solidFill>
                <a:schemeClr val="dk1"/>
              </a:solidFill>
              <a:latin typeface="+mn-lt"/>
              <a:ea typeface="+mn-ea"/>
              <a:cs typeface="Arial" panose="020B0604020202020204" pitchFamily="34" charset="0"/>
            </a:rPr>
            <a:t>будет равна сумме квот по каждому Серверу безопасности) и лицензий на</a:t>
          </a:r>
          <a:r>
            <a:rPr lang="en-US" sz="1100" b="0" i="0" u="none" strike="noStrike" baseline="0">
              <a:solidFill>
                <a:schemeClr val="dk1"/>
              </a:solidFill>
              <a:latin typeface="+mn-lt"/>
              <a:ea typeface="+mn-ea"/>
              <a:cs typeface="Arial" panose="020B0604020202020204" pitchFamily="34" charset="0"/>
            </a:rPr>
            <a:t> </a:t>
          </a:r>
          <a:r>
            <a:rPr lang="ru-RU" sz="1100" b="0" i="0" u="none" strike="noStrike" baseline="0">
              <a:solidFill>
                <a:schemeClr val="dk1"/>
              </a:solidFill>
              <a:latin typeface="+mn-lt"/>
              <a:ea typeface="+mn-ea"/>
              <a:cs typeface="Arial" panose="020B0604020202020204" pitchFamily="34" charset="0"/>
            </a:rPr>
            <a:t>терминальные подключения.</a:t>
          </a:r>
        </a:p>
        <a:p>
          <a:pPr algn="l"/>
          <a:r>
            <a:rPr lang="ru-RU" sz="1100" b="0" i="0" u="none" strike="noStrike" baseline="0">
              <a:solidFill>
                <a:schemeClr val="dk1"/>
              </a:solidFill>
              <a:latin typeface="+mn-lt"/>
              <a:ea typeface="+mn-ea"/>
              <a:cs typeface="Arial" panose="020B0604020202020204" pitchFamily="34" charset="0"/>
            </a:rPr>
            <a:t>Для увеличения общей квоты клиентских лицензий необходимо приобретение</a:t>
          </a:r>
          <a:r>
            <a:rPr lang="en-US" sz="1100" b="0" i="0" u="none" strike="noStrike" baseline="0">
              <a:solidFill>
                <a:schemeClr val="dk1"/>
              </a:solidFill>
              <a:latin typeface="+mn-lt"/>
              <a:ea typeface="+mn-ea"/>
              <a:cs typeface="Arial" panose="020B0604020202020204" pitchFamily="34" charset="0"/>
            </a:rPr>
            <a:t> </a:t>
          </a:r>
          <a:r>
            <a:rPr lang="ru-RU" sz="1100" b="0" i="0" u="none" strike="noStrike" baseline="0">
              <a:solidFill>
                <a:schemeClr val="dk1"/>
              </a:solidFill>
              <a:latin typeface="+mn-lt"/>
              <a:ea typeface="+mn-ea"/>
              <a:cs typeface="Arial" panose="020B0604020202020204" pitchFamily="34" charset="0"/>
            </a:rPr>
            <a:t>лицензий на Сервер безопасности </a:t>
          </a:r>
          <a:r>
            <a:rPr lang="en-US" sz="1100" b="0" i="0" u="none" strike="noStrike" baseline="0">
              <a:solidFill>
                <a:schemeClr val="dk1"/>
              </a:solidFill>
              <a:latin typeface="+mn-lt"/>
              <a:ea typeface="+mn-ea"/>
              <a:cs typeface="Arial" panose="020B0604020202020204" pitchFamily="34" charset="0"/>
            </a:rPr>
            <a:t>Dallas Lock </a:t>
          </a:r>
          <a:r>
            <a:rPr lang="ru-RU" sz="1100" b="0" i="0" u="none" strike="noStrike" baseline="0">
              <a:solidFill>
                <a:schemeClr val="dk1"/>
              </a:solidFill>
              <a:latin typeface="+mn-lt"/>
              <a:ea typeface="+mn-ea"/>
              <a:cs typeface="Arial" panose="020B0604020202020204" pitchFamily="34" charset="0"/>
            </a:rPr>
            <a:t>соответствующего диапазона.</a:t>
          </a:r>
          <a:endParaRPr lang="en-US" sz="1100" b="0" i="0" u="none" strike="noStrike" baseline="0">
            <a:solidFill>
              <a:schemeClr val="dk1"/>
            </a:solidFill>
            <a:latin typeface="+mn-lt"/>
            <a:ea typeface="+mn-ea"/>
            <a:cs typeface="Arial" panose="020B0604020202020204" pitchFamily="34" charset="0"/>
          </a:endParaRPr>
        </a:p>
      </xdr:txBody>
    </xdr:sp>
    <xdr:clientData/>
  </xdr:twoCellAnchor>
  <xdr:twoCellAnchor>
    <xdr:from>
      <xdr:col>2</xdr:col>
      <xdr:colOff>3909390</xdr:colOff>
      <xdr:row>79</xdr:row>
      <xdr:rowOff>16564</xdr:rowOff>
    </xdr:from>
    <xdr:to>
      <xdr:col>11</xdr:col>
      <xdr:colOff>760951</xdr:colOff>
      <xdr:row>109</xdr:row>
      <xdr:rowOff>107894</xdr:rowOff>
    </xdr:to>
    <xdr:sp macro="" textlink="">
      <xdr:nvSpPr>
        <xdr:cNvPr id="26" name="TextBox 25">
          <a:extLst>
            <a:ext uri="{FF2B5EF4-FFF2-40B4-BE49-F238E27FC236}">
              <a16:creationId xmlns:a16="http://schemas.microsoft.com/office/drawing/2014/main" xmlns="" id="{00000000-0008-0000-0A00-00001A000000}"/>
            </a:ext>
          </a:extLst>
        </xdr:cNvPr>
        <xdr:cNvSpPr txBox="1"/>
      </xdr:nvSpPr>
      <xdr:spPr>
        <a:xfrm>
          <a:off x="5714999" y="20010781"/>
          <a:ext cx="6442822" cy="580633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ru-RU" sz="1100" b="1" i="0" u="none" strike="noStrike" baseline="0">
              <a:solidFill>
                <a:schemeClr val="dk1"/>
              </a:solidFill>
              <a:latin typeface="+mn-lt"/>
              <a:ea typeface="+mn-ea"/>
              <a:cs typeface="Arial" panose="020B0604020202020204" pitchFamily="34" charset="0"/>
            </a:rPr>
            <a:t>Комплект поставки</a:t>
          </a:r>
        </a:p>
        <a:p>
          <a:pPr algn="l"/>
          <a:r>
            <a:rPr lang="ru-RU" sz="1100" b="0" i="0" u="none" strike="noStrike" baseline="0">
              <a:solidFill>
                <a:schemeClr val="dk1"/>
              </a:solidFill>
              <a:latin typeface="+mn-lt"/>
              <a:ea typeface="+mn-ea"/>
              <a:cs typeface="Arial" panose="020B0604020202020204" pitchFamily="34" charset="0"/>
            </a:rPr>
            <a:t>Включает одну лицензию на СЗИ </a:t>
          </a:r>
          <a:r>
            <a:rPr lang="en-US" sz="1100" b="0" i="0" u="none" strike="noStrike" baseline="0">
              <a:solidFill>
                <a:schemeClr val="dk1"/>
              </a:solidFill>
              <a:latin typeface="+mn-lt"/>
              <a:ea typeface="+mn-ea"/>
              <a:cs typeface="Arial" panose="020B0604020202020204" pitchFamily="34" charset="0"/>
            </a:rPr>
            <a:t>Dallas Lock 8.0 </a:t>
          </a:r>
          <a:r>
            <a:rPr lang="ru-RU" sz="1100" b="0" i="0" u="none" strike="noStrike" baseline="0">
              <a:solidFill>
                <a:schemeClr val="dk1"/>
              </a:solidFill>
              <a:latin typeface="+mn-lt"/>
              <a:ea typeface="+mn-ea"/>
              <a:cs typeface="Arial" panose="020B0604020202020204" pitchFamily="34" charset="0"/>
            </a:rPr>
            <a:t>соответствующей редакции</a:t>
          </a:r>
          <a:r>
            <a:rPr lang="en-US" sz="1100" b="0" i="0" u="none" strike="noStrike" baseline="0">
              <a:solidFill>
                <a:schemeClr val="dk1"/>
              </a:solidFill>
              <a:latin typeface="+mn-lt"/>
              <a:ea typeface="+mn-ea"/>
              <a:cs typeface="Arial" panose="020B0604020202020204" pitchFamily="34" charset="0"/>
            </a:rPr>
            <a:t> («K» </a:t>
          </a:r>
          <a:r>
            <a:rPr lang="ru-RU" sz="1100" b="0" i="0" u="none" strike="noStrike" baseline="0">
              <a:solidFill>
                <a:schemeClr val="dk1"/>
              </a:solidFill>
              <a:latin typeface="+mn-lt"/>
              <a:ea typeface="+mn-ea"/>
              <a:cs typeface="Arial" panose="020B0604020202020204" pitchFamily="34" charset="0"/>
            </a:rPr>
            <a:t>или «С»), сертифицированный комплект для установки СЗИ </a:t>
          </a:r>
          <a:r>
            <a:rPr lang="en-US" sz="1100" b="0" i="0" u="none" strike="noStrike" baseline="0">
              <a:solidFill>
                <a:schemeClr val="dk1"/>
              </a:solidFill>
              <a:latin typeface="+mn-lt"/>
              <a:ea typeface="+mn-ea"/>
              <a:cs typeface="Arial" panose="020B0604020202020204" pitchFamily="34" charset="0"/>
            </a:rPr>
            <a:t>Dallas Lock </a:t>
          </a:r>
          <a:r>
            <a:rPr lang="ru-RU" sz="1100" b="0" i="0" u="none" strike="noStrike" baseline="0">
              <a:solidFill>
                <a:schemeClr val="dk1"/>
              </a:solidFill>
              <a:latin typeface="+mn-lt"/>
              <a:ea typeface="+mn-ea"/>
              <a:cs typeface="Arial" panose="020B0604020202020204" pitchFamily="34" charset="0"/>
            </a:rPr>
            <a:t>и лицензионный </a:t>
          </a:r>
          <a:r>
            <a:rPr lang="en-US" sz="1100" b="0" i="0" u="none" strike="noStrike" baseline="0">
              <a:solidFill>
                <a:schemeClr val="dk1"/>
              </a:solidFill>
              <a:latin typeface="+mn-lt"/>
              <a:ea typeface="+mn-ea"/>
              <a:cs typeface="Arial" panose="020B0604020202020204" pitchFamily="34" charset="0"/>
            </a:rPr>
            <a:t>USB-</a:t>
          </a:r>
          <a:r>
            <a:rPr lang="ru-RU" sz="1100" b="0" i="0" u="none" strike="noStrike" baseline="0">
              <a:solidFill>
                <a:schemeClr val="dk1"/>
              </a:solidFill>
              <a:latin typeface="+mn-lt"/>
              <a:ea typeface="+mn-ea"/>
              <a:cs typeface="Arial" panose="020B0604020202020204" pitchFamily="34" charset="0"/>
            </a:rPr>
            <a:t>ключ Сервера лицензий </a:t>
          </a:r>
          <a:r>
            <a:rPr lang="en-US" sz="1100" b="0" i="0" u="none" strike="noStrike" baseline="0">
              <a:solidFill>
                <a:schemeClr val="dk1"/>
              </a:solidFill>
              <a:latin typeface="+mn-lt"/>
              <a:ea typeface="+mn-ea"/>
              <a:cs typeface="Arial" panose="020B0604020202020204" pitchFamily="34" charset="0"/>
            </a:rPr>
            <a:t>Dallas Lock </a:t>
          </a:r>
          <a:r>
            <a:rPr lang="ru-RU" sz="1100" b="0" i="0" u="none" strike="noStrike" baseline="0">
              <a:solidFill>
                <a:schemeClr val="dk1"/>
              </a:solidFill>
              <a:latin typeface="+mn-lt"/>
              <a:ea typeface="+mn-ea"/>
              <a:cs typeface="Arial" panose="020B0604020202020204" pitchFamily="34" charset="0"/>
            </a:rPr>
            <a:t>с указанием максимального количества терминальных серверов и доменов безопасности, которыми можно управлять.</a:t>
          </a:r>
        </a:p>
        <a:p>
          <a:pPr algn="l"/>
          <a:endParaRPr lang="en-US" sz="1100" b="1" i="0" u="none" strike="noStrike" baseline="0">
            <a:solidFill>
              <a:schemeClr val="dk1"/>
            </a:solidFill>
            <a:latin typeface="+mn-lt"/>
            <a:ea typeface="+mn-ea"/>
            <a:cs typeface="Arial" panose="020B0604020202020204" pitchFamily="34" charset="0"/>
          </a:endParaRPr>
        </a:p>
        <a:p>
          <a:pPr algn="l"/>
          <a:r>
            <a:rPr lang="ru-RU" sz="1100" b="1" i="0" u="none" strike="noStrike" baseline="0">
              <a:solidFill>
                <a:schemeClr val="dk1"/>
              </a:solidFill>
              <a:latin typeface="+mn-lt"/>
              <a:ea typeface="+mn-ea"/>
              <a:cs typeface="Arial" panose="020B0604020202020204" pitchFamily="34" charset="0"/>
            </a:rPr>
            <a:t>Техническая поддержка</a:t>
          </a:r>
        </a:p>
        <a:p>
          <a:pPr marL="0" marR="0" lvl="0" indent="0" algn="l" defTabSz="914400" eaLnBrk="1" fontAlgn="auto" latinLnBrk="0" hangingPunct="1">
            <a:lnSpc>
              <a:spcPct val="100000"/>
            </a:lnSpc>
            <a:spcBef>
              <a:spcPts val="0"/>
            </a:spcBef>
            <a:spcAft>
              <a:spcPts val="0"/>
            </a:spcAft>
            <a:buClrTx/>
            <a:buSzTx/>
            <a:buFontTx/>
            <a:buNone/>
            <a:tabLst/>
            <a:defRPr/>
          </a:pPr>
          <a:r>
            <a:rPr lang="ru-RU" sz="1100" b="0" i="0" baseline="0">
              <a:solidFill>
                <a:schemeClr val="dk1"/>
              </a:solidFill>
              <a:effectLst/>
              <a:latin typeface="+mn-lt"/>
              <a:ea typeface="+mn-ea"/>
              <a:cs typeface="+mn-cs"/>
            </a:rPr>
            <a:t>При первичном приобретении гарантийное сопровождение (основной пакет) в течение 1 года включено в стоимость (окончание артикула </a:t>
          </a:r>
          <a:r>
            <a:rPr lang="en-US" sz="1100" b="1" i="0" baseline="0">
              <a:solidFill>
                <a:schemeClr val="dk1"/>
              </a:solidFill>
              <a:effectLst/>
              <a:latin typeface="+mn-lt"/>
              <a:ea typeface="+mn-ea"/>
              <a:cs typeface="+mn-cs"/>
            </a:rPr>
            <a:t>z = 12M</a:t>
          </a:r>
          <a:r>
            <a:rPr lang="ru-RU" sz="1100" b="0" i="0" baseline="0">
              <a:solidFill>
                <a:schemeClr val="dk1"/>
              </a:solidFill>
              <a:effectLst/>
              <a:latin typeface="+mn-lt"/>
              <a:ea typeface="+mn-ea"/>
              <a:cs typeface="+mn-cs"/>
            </a:rPr>
            <a:t>).</a:t>
          </a:r>
          <a:r>
            <a:rPr lang="en-US" sz="1100" b="0" i="0" baseline="0">
              <a:solidFill>
                <a:schemeClr val="dk1"/>
              </a:solidFill>
              <a:effectLst/>
              <a:latin typeface="+mn-lt"/>
              <a:ea typeface="+mn-ea"/>
              <a:cs typeface="+mn-cs"/>
            </a:rPr>
            <a:t> </a:t>
          </a:r>
          <a:r>
            <a:rPr lang="ru-RU" sz="1100" b="0" i="0" baseline="0">
              <a:solidFill>
                <a:schemeClr val="dk1"/>
              </a:solidFill>
              <a:effectLst/>
              <a:latin typeface="+mn-lt"/>
              <a:ea typeface="+mn-ea"/>
              <a:cs typeface="+mn-cs"/>
            </a:rPr>
            <a:t>В случае приобретения лицензий с гарантийным сопровождением (основной пакет) на 3 года, стоимость лицензии умножается на коэффициент </a:t>
          </a:r>
          <a:r>
            <a:rPr lang="ru-RU" sz="1100" b="1" i="0" baseline="0">
              <a:solidFill>
                <a:schemeClr val="dk1"/>
              </a:solidFill>
              <a:effectLst/>
              <a:latin typeface="+mn-lt"/>
              <a:ea typeface="+mn-ea"/>
              <a:cs typeface="+mn-cs"/>
            </a:rPr>
            <a:t>1,35</a:t>
          </a:r>
          <a:r>
            <a:rPr lang="ru-RU" sz="1100" b="0" i="0" baseline="0">
              <a:solidFill>
                <a:schemeClr val="dk1"/>
              </a:solidFill>
              <a:effectLst/>
              <a:latin typeface="+mn-lt"/>
              <a:ea typeface="+mn-ea"/>
              <a:cs typeface="+mn-cs"/>
            </a:rPr>
            <a:t> (</a:t>
          </a:r>
          <a:r>
            <a:rPr lang="en-US" sz="1100" b="1" i="0" baseline="0">
              <a:solidFill>
                <a:schemeClr val="dk1"/>
              </a:solidFill>
              <a:effectLst/>
              <a:latin typeface="+mn-lt"/>
              <a:ea typeface="+mn-ea"/>
              <a:cs typeface="+mn-cs"/>
            </a:rPr>
            <a:t>z = 36M</a:t>
          </a:r>
          <a:r>
            <a:rPr lang="ru-RU" sz="1100" b="0" i="0" baseline="0">
              <a:solidFill>
                <a:schemeClr val="dk1"/>
              </a:solidFill>
              <a:effectLst/>
              <a:latin typeface="+mn-lt"/>
              <a:ea typeface="+mn-ea"/>
              <a:cs typeface="+mn-cs"/>
            </a:rPr>
            <a:t>). При первичном приобретении с техническим сопровождением расширенного пакета «24х7» окончания артикулов </a:t>
          </a:r>
          <a:r>
            <a:rPr lang="en-US" sz="1100" b="1" i="0" baseline="0">
              <a:solidFill>
                <a:schemeClr val="dk1"/>
              </a:solidFill>
              <a:effectLst/>
              <a:latin typeface="+mn-lt"/>
              <a:ea typeface="+mn-ea"/>
              <a:cs typeface="+mn-cs"/>
            </a:rPr>
            <a:t>12M</a:t>
          </a:r>
          <a:r>
            <a:rPr lang="en-US" sz="1100" b="0" i="0" baseline="0">
              <a:solidFill>
                <a:schemeClr val="dk1"/>
              </a:solidFill>
              <a:effectLst/>
              <a:latin typeface="+mn-lt"/>
              <a:ea typeface="+mn-ea"/>
              <a:cs typeface="+mn-cs"/>
            </a:rPr>
            <a:t>, </a:t>
          </a:r>
          <a:r>
            <a:rPr lang="en-US" sz="1100" b="1" i="0" baseline="0">
              <a:solidFill>
                <a:schemeClr val="dk1"/>
              </a:solidFill>
              <a:effectLst/>
              <a:latin typeface="+mn-lt"/>
              <a:ea typeface="+mn-ea"/>
              <a:cs typeface="+mn-cs"/>
            </a:rPr>
            <a:t>36M</a:t>
          </a:r>
          <a:r>
            <a:rPr lang="ru-RU" sz="1100" b="0" i="0" baseline="0">
              <a:solidFill>
                <a:schemeClr val="dk1"/>
              </a:solidFill>
              <a:effectLst/>
              <a:latin typeface="+mn-lt"/>
              <a:ea typeface="+mn-ea"/>
              <a:cs typeface="+mn-cs"/>
            </a:rPr>
            <a:t> заменяются на </a:t>
          </a:r>
          <a:r>
            <a:rPr lang="en-US" sz="1100" b="1" i="0" baseline="0">
              <a:solidFill>
                <a:schemeClr val="dk1"/>
              </a:solidFill>
              <a:effectLst/>
              <a:latin typeface="+mn-lt"/>
              <a:ea typeface="+mn-ea"/>
              <a:cs typeface="+mn-cs"/>
            </a:rPr>
            <a:t>12M247</a:t>
          </a:r>
          <a:r>
            <a:rPr lang="ru-RU" sz="1100" b="0" i="0" baseline="0">
              <a:solidFill>
                <a:schemeClr val="dk1"/>
              </a:solidFill>
              <a:effectLst/>
              <a:latin typeface="+mn-lt"/>
              <a:ea typeface="+mn-ea"/>
              <a:cs typeface="+mn-cs"/>
            </a:rPr>
            <a:t>, </a:t>
          </a:r>
          <a:r>
            <a:rPr lang="en-US" sz="1100" b="1" i="0" baseline="0">
              <a:solidFill>
                <a:schemeClr val="dk1"/>
              </a:solidFill>
              <a:effectLst/>
              <a:latin typeface="+mn-lt"/>
              <a:ea typeface="+mn-ea"/>
              <a:cs typeface="+mn-cs"/>
            </a:rPr>
            <a:t>36M247</a:t>
          </a:r>
          <a:r>
            <a:rPr lang="en-US" sz="1100" b="0" i="0" baseline="0">
              <a:solidFill>
                <a:schemeClr val="dk1"/>
              </a:solidFill>
              <a:effectLst/>
              <a:latin typeface="+mn-lt"/>
              <a:ea typeface="+mn-ea"/>
              <a:cs typeface="+mn-cs"/>
            </a:rPr>
            <a:t> </a:t>
          </a:r>
          <a:r>
            <a:rPr lang="ru-RU" sz="1100" b="0" i="0" baseline="0">
              <a:solidFill>
                <a:schemeClr val="dk1"/>
              </a:solidFill>
              <a:effectLst/>
              <a:latin typeface="+mn-lt"/>
              <a:ea typeface="+mn-ea"/>
              <a:cs typeface="+mn-cs"/>
            </a:rPr>
            <a:t>соответственно.</a:t>
          </a:r>
          <a:endParaRPr lang="ru-RU">
            <a:effectLst/>
          </a:endParaRPr>
        </a:p>
        <a:p>
          <a:pPr algn="l"/>
          <a:r>
            <a:rPr lang="ru-RU" sz="1100" b="0" i="0" baseline="0">
              <a:solidFill>
                <a:schemeClr val="dk1"/>
              </a:solidFill>
              <a:effectLst/>
              <a:latin typeface="+mn-lt"/>
              <a:ea typeface="+mn-ea"/>
              <a:cs typeface="+mn-cs"/>
            </a:rPr>
            <a:t>Продление технического сопровождения оформляется в виде сертификата на код активации технической поддержки. </a:t>
          </a:r>
          <a:r>
            <a:rPr lang="ru-RU" sz="1100">
              <a:solidFill>
                <a:schemeClr val="dk1"/>
              </a:solidFill>
              <a:effectLst/>
              <a:latin typeface="+mn-lt"/>
              <a:ea typeface="+mn-ea"/>
              <a:cs typeface="+mn-cs"/>
            </a:rPr>
            <a:t>Сертификат передается по УПД или товарной накладной по форме ТОРГ-12 с оформлением счета-фактуры.</a:t>
          </a:r>
          <a:endParaRPr lang="ru-RU">
            <a:effectLst/>
          </a:endParaRPr>
        </a:p>
        <a:p>
          <a:pPr algn="l"/>
          <a:r>
            <a:rPr lang="ru-RU" sz="1100" b="0" i="0" baseline="0">
              <a:solidFill>
                <a:schemeClr val="dk1"/>
              </a:solidFill>
              <a:effectLst/>
              <a:latin typeface="+mn-lt"/>
              <a:ea typeface="+mn-ea"/>
              <a:cs typeface="+mn-cs"/>
            </a:rPr>
            <a:t>Стоимость последующего технического сопровождения (основной пакет) составляет 20% (15% для лицензий с артикулом </a:t>
          </a:r>
          <a:r>
            <a:rPr lang="en-US" sz="1100" b="0" i="0" baseline="0">
              <a:solidFill>
                <a:schemeClr val="dk1"/>
              </a:solidFill>
              <a:effectLst/>
              <a:latin typeface="+mn-lt"/>
              <a:ea typeface="+mn-ea"/>
              <a:cs typeface="+mn-cs"/>
            </a:rPr>
            <a:t>*</a:t>
          </a:r>
          <a:r>
            <a:rPr lang="ru-RU" sz="1100" b="0" i="0" baseline="0">
              <a:solidFill>
                <a:schemeClr val="dk1"/>
              </a:solidFill>
              <a:effectLst/>
              <a:latin typeface="+mn-lt"/>
              <a:ea typeface="+mn-ea"/>
              <a:cs typeface="+mn-cs"/>
            </a:rPr>
            <a:t>.36</a:t>
          </a:r>
          <a:r>
            <a:rPr lang="en-US" sz="1100" b="0" i="0" baseline="0">
              <a:solidFill>
                <a:schemeClr val="dk1"/>
              </a:solidFill>
              <a:effectLst/>
              <a:latin typeface="+mn-lt"/>
              <a:ea typeface="+mn-ea"/>
              <a:cs typeface="+mn-cs"/>
            </a:rPr>
            <a:t>M</a:t>
          </a:r>
          <a:r>
            <a:rPr lang="ru-RU" sz="1100" b="0" i="0" baseline="0">
              <a:solidFill>
                <a:schemeClr val="dk1"/>
              </a:solidFill>
              <a:effectLst/>
              <a:latin typeface="+mn-lt"/>
              <a:ea typeface="+mn-ea"/>
              <a:cs typeface="+mn-cs"/>
            </a:rPr>
            <a:t>) от стоимости лицензий в год. При оплате технического сопровождения (основной пакет) вперед на 3 года действует скидка – стоимость продления составит 55% (40% для лицензий с артикулом </a:t>
          </a:r>
          <a:r>
            <a:rPr lang="en-US" sz="1100" b="0" i="0" baseline="0">
              <a:solidFill>
                <a:schemeClr val="dk1"/>
              </a:solidFill>
              <a:effectLst/>
              <a:latin typeface="+mn-lt"/>
              <a:ea typeface="+mn-ea"/>
              <a:cs typeface="+mn-cs"/>
            </a:rPr>
            <a:t>*</a:t>
          </a:r>
          <a:r>
            <a:rPr lang="ru-RU" sz="1100" b="0" i="0" baseline="0">
              <a:solidFill>
                <a:schemeClr val="dk1"/>
              </a:solidFill>
              <a:effectLst/>
              <a:latin typeface="+mn-lt"/>
              <a:ea typeface="+mn-ea"/>
              <a:cs typeface="+mn-cs"/>
            </a:rPr>
            <a:t>.36</a:t>
          </a:r>
          <a:r>
            <a:rPr lang="en-US" sz="1100" b="0" i="0" baseline="0">
              <a:solidFill>
                <a:schemeClr val="dk1"/>
              </a:solidFill>
              <a:effectLst/>
              <a:latin typeface="+mn-lt"/>
              <a:ea typeface="+mn-ea"/>
              <a:cs typeface="+mn-cs"/>
            </a:rPr>
            <a:t>M</a:t>
          </a:r>
          <a:r>
            <a:rPr lang="ru-RU" sz="1100" b="0" i="0" baseline="0">
              <a:solidFill>
                <a:schemeClr val="dk1"/>
              </a:solidFill>
              <a:effectLst/>
              <a:latin typeface="+mn-lt"/>
              <a:ea typeface="+mn-ea"/>
              <a:cs typeface="+mn-cs"/>
            </a:rPr>
            <a:t>) от розничной стоимости лицензий. Стоимость последующего технического сопровождения (расширенный пакет «24х7») составляет 30% (22% для лицензий с артикулом </a:t>
          </a:r>
          <a:r>
            <a:rPr lang="en-US" sz="1100" b="0" i="0" baseline="0">
              <a:solidFill>
                <a:schemeClr val="dk1"/>
              </a:solidFill>
              <a:effectLst/>
              <a:latin typeface="+mn-lt"/>
              <a:ea typeface="+mn-ea"/>
              <a:cs typeface="+mn-cs"/>
            </a:rPr>
            <a:t>*</a:t>
          </a:r>
          <a:r>
            <a:rPr lang="ru-RU" sz="1100" b="0" i="0" baseline="0">
              <a:solidFill>
                <a:schemeClr val="dk1"/>
              </a:solidFill>
              <a:effectLst/>
              <a:latin typeface="+mn-lt"/>
              <a:ea typeface="+mn-ea"/>
              <a:cs typeface="+mn-cs"/>
            </a:rPr>
            <a:t>.36</a:t>
          </a:r>
          <a:r>
            <a:rPr lang="en-US" sz="1100" b="0" i="0" baseline="0">
              <a:solidFill>
                <a:schemeClr val="dk1"/>
              </a:solidFill>
              <a:effectLst/>
              <a:latin typeface="+mn-lt"/>
              <a:ea typeface="+mn-ea"/>
              <a:cs typeface="+mn-cs"/>
            </a:rPr>
            <a:t>M</a:t>
          </a:r>
          <a:r>
            <a:rPr lang="ru-RU" sz="1100" b="0" i="0" baseline="0">
              <a:solidFill>
                <a:schemeClr val="dk1"/>
              </a:solidFill>
              <a:effectLst/>
              <a:latin typeface="+mn-lt"/>
              <a:ea typeface="+mn-ea"/>
              <a:cs typeface="+mn-cs"/>
            </a:rPr>
            <a:t>) от стоимости лицензий в год. При оплате технического сопровождения (расширенный пакет «24х7») вперед на 3 года действует скидка – стоимость продления составит 80% (60% для лицензий с артикулом </a:t>
          </a:r>
          <a:r>
            <a:rPr lang="en-US" sz="1100" b="0" i="0" baseline="0">
              <a:solidFill>
                <a:schemeClr val="dk1"/>
              </a:solidFill>
              <a:effectLst/>
              <a:latin typeface="+mn-lt"/>
              <a:ea typeface="+mn-ea"/>
              <a:cs typeface="+mn-cs"/>
            </a:rPr>
            <a:t>*</a:t>
          </a:r>
          <a:r>
            <a:rPr lang="ru-RU" sz="1100" b="0" i="0" baseline="0">
              <a:solidFill>
                <a:schemeClr val="dk1"/>
              </a:solidFill>
              <a:effectLst/>
              <a:latin typeface="+mn-lt"/>
              <a:ea typeface="+mn-ea"/>
              <a:cs typeface="+mn-cs"/>
            </a:rPr>
            <a:t>.36</a:t>
          </a:r>
          <a:r>
            <a:rPr lang="en-US" sz="1100" b="0" i="0" baseline="0">
              <a:solidFill>
                <a:schemeClr val="dk1"/>
              </a:solidFill>
              <a:effectLst/>
              <a:latin typeface="+mn-lt"/>
              <a:ea typeface="+mn-ea"/>
              <a:cs typeface="+mn-cs"/>
            </a:rPr>
            <a:t>M</a:t>
          </a:r>
          <a:r>
            <a:rPr lang="ru-RU" sz="1100" b="0" i="0" baseline="0">
              <a:solidFill>
                <a:schemeClr val="dk1"/>
              </a:solidFill>
              <a:effectLst/>
              <a:latin typeface="+mn-lt"/>
              <a:ea typeface="+mn-ea"/>
              <a:cs typeface="+mn-cs"/>
            </a:rPr>
            <a:t>) от стоимости лицензий. При продлении технического сопровождения оплачивается также весь период с момента окончания гарантийного или технического сопровождения.</a:t>
          </a:r>
          <a:endParaRPr lang="ru-RU">
            <a:effectLst/>
          </a:endParaRPr>
        </a:p>
        <a:p>
          <a:pPr algn="l"/>
          <a:r>
            <a:rPr lang="ru-RU" sz="1100" b="0" i="0" baseline="0">
              <a:solidFill>
                <a:schemeClr val="dk1"/>
              </a:solidFill>
              <a:effectLst/>
              <a:latin typeface="+mn-lt"/>
              <a:ea typeface="+mn-ea"/>
              <a:cs typeface="+mn-cs"/>
            </a:rPr>
            <a:t>Стоимость технического сопровождения на устаревших инфраструктурах (при использовании операционных систем с завершившейся поддержкой от вендора, например, таких, как </a:t>
          </a:r>
          <a:r>
            <a:rPr lang="en-US" sz="1100" b="0" i="0" baseline="0">
              <a:solidFill>
                <a:schemeClr val="dk1"/>
              </a:solidFill>
              <a:effectLst/>
              <a:latin typeface="+mn-lt"/>
              <a:ea typeface="+mn-ea"/>
              <a:cs typeface="+mn-cs"/>
            </a:rPr>
            <a:t>Windows XP/2003 Server</a:t>
          </a:r>
          <a:r>
            <a:rPr lang="ru-RU" sz="1100" b="0" i="0" baseline="0">
              <a:solidFill>
                <a:schemeClr val="dk1"/>
              </a:solidFill>
              <a:effectLst/>
              <a:latin typeface="+mn-lt"/>
              <a:ea typeface="+mn-ea"/>
              <a:cs typeface="+mn-cs"/>
            </a:rPr>
            <a:t>/</a:t>
          </a:r>
          <a:r>
            <a:rPr lang="en-US" sz="1100" b="0" i="0" baseline="0">
              <a:solidFill>
                <a:schemeClr val="dk1"/>
              </a:solidFill>
              <a:effectLst/>
              <a:latin typeface="+mn-lt"/>
              <a:ea typeface="+mn-ea"/>
              <a:cs typeface="+mn-cs"/>
            </a:rPr>
            <a:t>Windows 7 </a:t>
          </a:r>
          <a:r>
            <a:rPr lang="ru-RU" sz="1100" b="0" i="0" baseline="0">
              <a:solidFill>
                <a:schemeClr val="dk1"/>
              </a:solidFill>
              <a:effectLst/>
              <a:latin typeface="+mn-lt"/>
              <a:ea typeface="+mn-ea"/>
              <a:cs typeface="+mn-cs"/>
            </a:rPr>
            <a:t>и т. д.</a:t>
          </a:r>
          <a:r>
            <a:rPr lang="en-US" sz="1100" b="0" i="0" baseline="0">
              <a:solidFill>
                <a:schemeClr val="dk1"/>
              </a:solidFill>
              <a:effectLst/>
              <a:latin typeface="+mn-lt"/>
              <a:ea typeface="+mn-ea"/>
              <a:cs typeface="+mn-cs"/>
            </a:rPr>
            <a:t>) </a:t>
          </a:r>
          <a:r>
            <a:rPr lang="ru-RU" sz="1100" b="0" i="0" baseline="0">
              <a:solidFill>
                <a:schemeClr val="dk1"/>
              </a:solidFill>
              <a:effectLst/>
              <a:latin typeface="+mn-lt"/>
              <a:ea typeface="+mn-ea"/>
              <a:cs typeface="+mn-cs"/>
            </a:rPr>
            <a:t>удваивается.</a:t>
          </a:r>
          <a:endParaRPr lang="ru-RU">
            <a:effectLst/>
          </a:endParaRPr>
        </a:p>
        <a:p>
          <a:pPr algn="l"/>
          <a:r>
            <a:rPr lang="ru-RU" sz="1100" b="0" i="0" baseline="0">
              <a:solidFill>
                <a:schemeClr val="dk1"/>
              </a:solidFill>
              <a:effectLst/>
              <a:latin typeface="+mn-lt"/>
              <a:ea typeface="+mn-ea"/>
              <a:cs typeface="+mn-cs"/>
            </a:rPr>
            <a:t>Пользователи программного обеспечения </a:t>
          </a:r>
          <a:r>
            <a:rPr lang="en-US" sz="1100" b="0" i="0" baseline="0">
              <a:solidFill>
                <a:schemeClr val="dk1"/>
              </a:solidFill>
              <a:effectLst/>
              <a:latin typeface="+mn-lt"/>
              <a:ea typeface="+mn-ea"/>
              <a:cs typeface="+mn-cs"/>
            </a:rPr>
            <a:t>Dallas Lock </a:t>
          </a:r>
          <a:r>
            <a:rPr lang="ru-RU" sz="1100" b="0" i="0" baseline="0">
              <a:solidFill>
                <a:schemeClr val="dk1"/>
              </a:solidFill>
              <a:effectLst/>
              <a:latin typeface="+mn-lt"/>
              <a:ea typeface="+mn-ea"/>
              <a:cs typeface="+mn-cs"/>
            </a:rPr>
            <a:t>в рамках гарантийного или непрерывно действующего технического сопровождения имеют право бесплатного обновления лицензий до следующей версии этого решения (с тем же объемом функциональности). Оплачивается только стоимость новых сертифицированных комплектов для установки и 1 год (3 года для лицензий с артикулом </a:t>
          </a:r>
          <a:r>
            <a:rPr lang="en-US" sz="1100" b="0" i="0" baseline="0">
              <a:solidFill>
                <a:schemeClr val="dk1"/>
              </a:solidFill>
              <a:effectLst/>
              <a:latin typeface="+mn-lt"/>
              <a:ea typeface="+mn-ea"/>
              <a:cs typeface="+mn-cs"/>
            </a:rPr>
            <a:t>*</a:t>
          </a:r>
          <a:r>
            <a:rPr lang="ru-RU" sz="1100" b="0" i="0" baseline="0">
              <a:solidFill>
                <a:schemeClr val="dk1"/>
              </a:solidFill>
              <a:effectLst/>
              <a:latin typeface="+mn-lt"/>
              <a:ea typeface="+mn-ea"/>
              <a:cs typeface="+mn-cs"/>
            </a:rPr>
            <a:t>.36</a:t>
          </a:r>
          <a:r>
            <a:rPr lang="en-US" sz="1100" b="0" i="0" baseline="0">
              <a:solidFill>
                <a:schemeClr val="dk1"/>
              </a:solidFill>
              <a:effectLst/>
              <a:latin typeface="+mn-lt"/>
              <a:ea typeface="+mn-ea"/>
              <a:cs typeface="+mn-cs"/>
            </a:rPr>
            <a:t>M</a:t>
          </a:r>
          <a:r>
            <a:rPr lang="ru-RU" sz="1100" b="0" i="0" baseline="0">
              <a:solidFill>
                <a:schemeClr val="dk1"/>
              </a:solidFill>
              <a:effectLst/>
              <a:latin typeface="+mn-lt"/>
              <a:ea typeface="+mn-ea"/>
              <a:cs typeface="+mn-cs"/>
            </a:rPr>
            <a:t>) технической поддержки.</a:t>
          </a:r>
          <a:endParaRPr lang="ru-RU">
            <a:effectLst/>
          </a:endParaRPr>
        </a:p>
      </xdr:txBody>
    </xdr:sp>
    <xdr:clientData/>
  </xdr:twoCellAnchor>
  <xdr:twoCellAnchor editAs="oneCell">
    <xdr:from>
      <xdr:col>0</xdr:col>
      <xdr:colOff>54663</xdr:colOff>
      <xdr:row>126</xdr:row>
      <xdr:rowOff>0</xdr:rowOff>
    </xdr:from>
    <xdr:to>
      <xdr:col>11</xdr:col>
      <xdr:colOff>650875</xdr:colOff>
      <xdr:row>134</xdr:row>
      <xdr:rowOff>51604</xdr:rowOff>
    </xdr:to>
    <xdr:pic>
      <xdr:nvPicPr>
        <xdr:cNvPr id="27" name="Рисунок 26">
          <a:extLst>
            <a:ext uri="{FF2B5EF4-FFF2-40B4-BE49-F238E27FC236}">
              <a16:creationId xmlns:a16="http://schemas.microsoft.com/office/drawing/2014/main" xmlns="" id="{00000000-0008-0000-0A00-00001B000000}"/>
            </a:ext>
          </a:extLst>
        </xdr:cNvPr>
        <xdr:cNvPicPr>
          <a:picLocks noChangeAspect="1"/>
        </xdr:cNvPicPr>
      </xdr:nvPicPr>
      <xdr:blipFill>
        <a:blip xmlns:r="http://schemas.openxmlformats.org/officeDocument/2006/relationships" r:embed="rId5"/>
        <a:stretch>
          <a:fillRect/>
        </a:stretch>
      </xdr:blipFill>
      <xdr:spPr>
        <a:xfrm>
          <a:off x="54663" y="30575250"/>
          <a:ext cx="11962712" cy="1575604"/>
        </a:xfrm>
        <a:prstGeom prst="rect">
          <a:avLst/>
        </a:prstGeom>
      </xdr:spPr>
    </xdr:pic>
    <xdr:clientData/>
  </xdr:twoCellAnchor>
  <xdr:twoCellAnchor>
    <xdr:from>
      <xdr:col>0</xdr:col>
      <xdr:colOff>47625</xdr:colOff>
      <xdr:row>135</xdr:row>
      <xdr:rowOff>38100</xdr:rowOff>
    </xdr:from>
    <xdr:to>
      <xdr:col>2</xdr:col>
      <xdr:colOff>2962344</xdr:colOff>
      <xdr:row>135</xdr:row>
      <xdr:rowOff>38100</xdr:rowOff>
    </xdr:to>
    <xdr:cxnSp macro="">
      <xdr:nvCxnSpPr>
        <xdr:cNvPr id="28" name="Прямая соединительная линия 27">
          <a:extLst>
            <a:ext uri="{FF2B5EF4-FFF2-40B4-BE49-F238E27FC236}">
              <a16:creationId xmlns:a16="http://schemas.microsoft.com/office/drawing/2014/main" xmlns="" id="{00000000-0008-0000-0A00-00001C000000}"/>
            </a:ext>
          </a:extLst>
        </xdr:cNvPr>
        <xdr:cNvCxnSpPr/>
      </xdr:nvCxnSpPr>
      <xdr:spPr>
        <a:xfrm>
          <a:off x="47625" y="33223200"/>
          <a:ext cx="4724469"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57150</xdr:colOff>
      <xdr:row>136</xdr:row>
      <xdr:rowOff>49697</xdr:rowOff>
    </xdr:from>
    <xdr:to>
      <xdr:col>11</xdr:col>
      <xdr:colOff>682625</xdr:colOff>
      <xdr:row>141</xdr:row>
      <xdr:rowOff>1</xdr:rowOff>
    </xdr:to>
    <xdr:sp macro="" textlink="">
      <xdr:nvSpPr>
        <xdr:cNvPr id="29" name="TextBox 28">
          <a:extLst>
            <a:ext uri="{FF2B5EF4-FFF2-40B4-BE49-F238E27FC236}">
              <a16:creationId xmlns:a16="http://schemas.microsoft.com/office/drawing/2014/main" xmlns="" id="{00000000-0008-0000-0A00-00001D000000}"/>
            </a:ext>
          </a:extLst>
        </xdr:cNvPr>
        <xdr:cNvSpPr txBox="1"/>
      </xdr:nvSpPr>
      <xdr:spPr>
        <a:xfrm>
          <a:off x="57150" y="32529947"/>
          <a:ext cx="11991975" cy="90280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ru-RU" sz="1100" b="0" i="0" u="none" strike="noStrike" baseline="0">
              <a:solidFill>
                <a:schemeClr val="dk1"/>
              </a:solidFill>
              <a:latin typeface="+mn-lt"/>
              <a:ea typeface="+mn-ea"/>
              <a:cs typeface="Arial" panose="020B0604020202020204" pitchFamily="34" charset="0"/>
            </a:rPr>
            <a:t>* На основании статьи № 149 п. 2 пп. 26 НК РФ стоимость передаваемых неисключительных прав на используеме программное обеспечение не облагается НДС</a:t>
          </a:r>
          <a:r>
            <a:rPr lang="en-US" sz="1100" b="0" i="0" u="none" strike="noStrike" baseline="0">
              <a:solidFill>
                <a:schemeClr val="dk1"/>
              </a:solidFill>
              <a:latin typeface="+mn-lt"/>
              <a:ea typeface="+mn-ea"/>
              <a:cs typeface="Arial" panose="020B0604020202020204" pitchFamily="34" charset="0"/>
            </a:rPr>
            <a:t>; </a:t>
          </a:r>
        </a:p>
        <a:p>
          <a:r>
            <a:rPr lang="ru-RU" sz="1100" b="0" i="0" baseline="0">
              <a:solidFill>
                <a:schemeClr val="dk1"/>
              </a:solidFill>
              <a:effectLst/>
              <a:latin typeface="+mn-lt"/>
              <a:ea typeface="+mn-ea"/>
              <a:cs typeface="+mn-cs"/>
            </a:rPr>
            <a:t>«</a:t>
          </a:r>
          <a:r>
            <a:rPr lang="en-US" sz="1100" b="0" i="0" baseline="0">
              <a:solidFill>
                <a:schemeClr val="dk1"/>
              </a:solidFill>
              <a:effectLst/>
              <a:latin typeface="+mn-lt"/>
              <a:ea typeface="+mn-ea"/>
              <a:cs typeface="+mn-cs"/>
            </a:rPr>
            <a:t>z» – </a:t>
          </a:r>
          <a:r>
            <a:rPr lang="ru-RU" sz="1100" b="0" i="0" baseline="0">
              <a:solidFill>
                <a:schemeClr val="dk1"/>
              </a:solidFill>
              <a:effectLst/>
              <a:latin typeface="+mn-lt"/>
              <a:ea typeface="+mn-ea"/>
              <a:cs typeface="+mn-cs"/>
            </a:rPr>
            <a:t>срок оказания гарантийного сопровождения: </a:t>
          </a:r>
          <a:r>
            <a:rPr lang="en-US" sz="1100" b="0" i="0" baseline="0">
              <a:solidFill>
                <a:schemeClr val="dk1"/>
              </a:solidFill>
              <a:effectLst/>
              <a:latin typeface="+mn-lt"/>
              <a:ea typeface="+mn-ea"/>
              <a:cs typeface="+mn-cs"/>
            </a:rPr>
            <a:t>12M – </a:t>
          </a:r>
          <a:r>
            <a:rPr lang="ru-RU" sz="1100" b="0" i="0" baseline="0">
              <a:solidFill>
                <a:schemeClr val="dk1"/>
              </a:solidFill>
              <a:effectLst/>
              <a:latin typeface="+mn-lt"/>
              <a:ea typeface="+mn-ea"/>
              <a:cs typeface="+mn-cs"/>
            </a:rPr>
            <a:t>12 месяцев, 36</a:t>
          </a:r>
          <a:r>
            <a:rPr lang="en-US" sz="1100" b="0" i="0" baseline="0">
              <a:solidFill>
                <a:schemeClr val="dk1"/>
              </a:solidFill>
              <a:effectLst/>
              <a:latin typeface="+mn-lt"/>
              <a:ea typeface="+mn-ea"/>
              <a:cs typeface="+mn-cs"/>
            </a:rPr>
            <a:t>M – </a:t>
          </a:r>
          <a:r>
            <a:rPr lang="ru-RU" sz="1100" b="0" i="0" baseline="0">
              <a:solidFill>
                <a:schemeClr val="dk1"/>
              </a:solidFill>
              <a:effectLst/>
              <a:latin typeface="+mn-lt"/>
              <a:ea typeface="+mn-ea"/>
              <a:cs typeface="+mn-cs"/>
            </a:rPr>
            <a:t>36 месяцев.</a:t>
          </a:r>
          <a:endParaRPr lang="ru-RU" sz="1100" b="0" i="0" u="none" strike="noStrike" baseline="0">
            <a:solidFill>
              <a:schemeClr val="dk1"/>
            </a:solidFill>
            <a:latin typeface="+mn-lt"/>
            <a:ea typeface="+mn-ea"/>
            <a:cs typeface="Arial" panose="020B0604020202020204" pitchFamily="34" charset="0"/>
          </a:endParaRPr>
        </a:p>
      </xdr:txBody>
    </xdr:sp>
    <xdr:clientData/>
  </xdr:twoCellAnchor>
  <xdr:twoCellAnchor editAs="oneCell">
    <xdr:from>
      <xdr:col>0</xdr:col>
      <xdr:colOff>0</xdr:colOff>
      <xdr:row>10</xdr:row>
      <xdr:rowOff>0</xdr:rowOff>
    </xdr:from>
    <xdr:to>
      <xdr:col>13</xdr:col>
      <xdr:colOff>95250</xdr:colOff>
      <xdr:row>10</xdr:row>
      <xdr:rowOff>723900</xdr:rowOff>
    </xdr:to>
    <xdr:pic>
      <xdr:nvPicPr>
        <xdr:cNvPr id="3" name="Рисунок 2">
          <a:extLst>
            <a:ext uri="{FF2B5EF4-FFF2-40B4-BE49-F238E27FC236}">
              <a16:creationId xmlns:a16="http://schemas.microsoft.com/office/drawing/2014/main" xmlns="" id="{00000000-0008-0000-0A00-000003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0" y="3714750"/>
          <a:ext cx="12277725" cy="72390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xdr:col>
          <xdr:colOff>3752850</xdr:colOff>
          <xdr:row>120</xdr:row>
          <xdr:rowOff>0</xdr:rowOff>
        </xdr:from>
        <xdr:to>
          <xdr:col>2</xdr:col>
          <xdr:colOff>3952875</xdr:colOff>
          <xdr:row>121</xdr:row>
          <xdr:rowOff>19050</xdr:rowOff>
        </xdr:to>
        <xdr:sp macro="" textlink="">
          <xdr:nvSpPr>
            <xdr:cNvPr id="14344" name="Check Box 8" hidden="1">
              <a:extLst>
                <a:ext uri="{63B3BB69-23CF-44E3-9099-C40C66FF867C}">
                  <a14:compatExt spid="_x0000_s14344"/>
                </a:ext>
                <a:ext uri="{FF2B5EF4-FFF2-40B4-BE49-F238E27FC236}">
                  <a16:creationId xmlns:a16="http://schemas.microsoft.com/office/drawing/2014/main" xmlns="" id="{00000000-0008-0000-0A00-00000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533400</xdr:colOff>
          <xdr:row>120</xdr:row>
          <xdr:rowOff>19050</xdr:rowOff>
        </xdr:from>
        <xdr:to>
          <xdr:col>11</xdr:col>
          <xdr:colOff>76200</xdr:colOff>
          <xdr:row>121</xdr:row>
          <xdr:rowOff>19050</xdr:rowOff>
        </xdr:to>
        <xdr:sp macro="" textlink="">
          <xdr:nvSpPr>
            <xdr:cNvPr id="14345" name="Check Box 9" hidden="1">
              <a:extLst>
                <a:ext uri="{63B3BB69-23CF-44E3-9099-C40C66FF867C}">
                  <a14:compatExt spid="_x0000_s14345"/>
                </a:ext>
                <a:ext uri="{FF2B5EF4-FFF2-40B4-BE49-F238E27FC236}">
                  <a16:creationId xmlns:a16="http://schemas.microsoft.com/office/drawing/2014/main" xmlns="" id="{00000000-0008-0000-0A00-00000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314325</xdr:colOff>
      <xdr:row>126</xdr:row>
      <xdr:rowOff>168648</xdr:rowOff>
    </xdr:from>
    <xdr:to>
      <xdr:col>11</xdr:col>
      <xdr:colOff>714855</xdr:colOff>
      <xdr:row>134</xdr:row>
      <xdr:rowOff>58672</xdr:rowOff>
    </xdr:to>
    <xdr:sp macro="" textlink="">
      <xdr:nvSpPr>
        <xdr:cNvPr id="30" name="Прямоугольник 29">
          <a:extLst>
            <a:ext uri="{FF2B5EF4-FFF2-40B4-BE49-F238E27FC236}">
              <a16:creationId xmlns:a16="http://schemas.microsoft.com/office/drawing/2014/main" xmlns="" id="{00000000-0008-0000-0A00-00001E000000}"/>
            </a:ext>
          </a:extLst>
        </xdr:cNvPr>
        <xdr:cNvSpPr/>
      </xdr:nvSpPr>
      <xdr:spPr>
        <a:xfrm>
          <a:off x="400050" y="31639248"/>
          <a:ext cx="11725755" cy="141402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mc:AlternateContent xmlns:mc="http://schemas.openxmlformats.org/markup-compatibility/2006">
    <mc:Choice xmlns:a14="http://schemas.microsoft.com/office/drawing/2010/main" Requires="a14">
      <xdr:twoCellAnchor editAs="oneCell">
        <xdr:from>
          <xdr:col>2</xdr:col>
          <xdr:colOff>3762375</xdr:colOff>
          <xdr:row>113</xdr:row>
          <xdr:rowOff>95250</xdr:rowOff>
        </xdr:from>
        <xdr:to>
          <xdr:col>3</xdr:col>
          <xdr:colOff>47625</xdr:colOff>
          <xdr:row>115</xdr:row>
          <xdr:rowOff>28575</xdr:rowOff>
        </xdr:to>
        <xdr:sp macro="" textlink="">
          <xdr:nvSpPr>
            <xdr:cNvPr id="14346" name="Check Box 10" hidden="1">
              <a:extLst>
                <a:ext uri="{63B3BB69-23CF-44E3-9099-C40C66FF867C}">
                  <a14:compatExt spid="_x0000_s14346"/>
                </a:ext>
                <a:ext uri="{FF2B5EF4-FFF2-40B4-BE49-F238E27FC236}">
                  <a16:creationId xmlns:a16="http://schemas.microsoft.com/office/drawing/2014/main" xmlns="" id="{00000000-0008-0000-0A00-00000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533400</xdr:colOff>
          <xdr:row>113</xdr:row>
          <xdr:rowOff>95250</xdr:rowOff>
        </xdr:from>
        <xdr:to>
          <xdr:col>11</xdr:col>
          <xdr:colOff>76200</xdr:colOff>
          <xdr:row>115</xdr:row>
          <xdr:rowOff>28575</xdr:rowOff>
        </xdr:to>
        <xdr:sp macro="" textlink="">
          <xdr:nvSpPr>
            <xdr:cNvPr id="14347" name="Check Box 11" hidden="1">
              <a:extLst>
                <a:ext uri="{63B3BB69-23CF-44E3-9099-C40C66FF867C}">
                  <a14:compatExt spid="_x0000_s14347"/>
                </a:ext>
                <a:ext uri="{FF2B5EF4-FFF2-40B4-BE49-F238E27FC236}">
                  <a16:creationId xmlns:a16="http://schemas.microsoft.com/office/drawing/2014/main" xmlns="" id="{00000000-0008-0000-0A00-00000B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xdr:twoCellAnchor>
    <xdr:from>
      <xdr:col>1</xdr:col>
      <xdr:colOff>9525</xdr:colOff>
      <xdr:row>16</xdr:row>
      <xdr:rowOff>76759</xdr:rowOff>
    </xdr:from>
    <xdr:to>
      <xdr:col>2</xdr:col>
      <xdr:colOff>3905250</xdr:colOff>
      <xdr:row>43</xdr:row>
      <xdr:rowOff>22412</xdr:rowOff>
    </xdr:to>
    <xdr:sp macro="" textlink="">
      <xdr:nvSpPr>
        <xdr:cNvPr id="4" name="TextBox 3">
          <a:extLst>
            <a:ext uri="{FF2B5EF4-FFF2-40B4-BE49-F238E27FC236}">
              <a16:creationId xmlns:a16="http://schemas.microsoft.com/office/drawing/2014/main" xmlns="" id="{00000000-0008-0000-0B00-000004000000}"/>
            </a:ext>
          </a:extLst>
        </xdr:cNvPr>
        <xdr:cNvSpPr txBox="1"/>
      </xdr:nvSpPr>
      <xdr:spPr>
        <a:xfrm>
          <a:off x="99172" y="6273612"/>
          <a:ext cx="5711078" cy="508915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ru-RU" sz="1100" b="1" i="0" u="none" strike="noStrike" baseline="0">
              <a:solidFill>
                <a:schemeClr val="dk1"/>
              </a:solidFill>
              <a:latin typeface="+mn-lt"/>
              <a:ea typeface="+mn-ea"/>
              <a:cs typeface="Arial" panose="020B0604020202020204" pitchFamily="34" charset="0"/>
            </a:rPr>
            <a:t>Основные возможности Сервера лицензий</a:t>
          </a:r>
        </a:p>
        <a:p>
          <a:pPr algn="just"/>
          <a:r>
            <a:rPr lang="ru-RU" sz="1100" b="0" i="0" u="none" strike="noStrike" baseline="0">
              <a:solidFill>
                <a:schemeClr val="dk1"/>
              </a:solidFill>
              <a:latin typeface="+mn-lt"/>
              <a:ea typeface="+mn-ea"/>
              <a:cs typeface="Arial" panose="020B0604020202020204" pitchFamily="34" charset="0"/>
            </a:rPr>
            <a:t>• Мониторинг и информирование администраторов безопасности о состоянии технической поддержки по использующимся лицензиям, автоматизированный запрос стоимости продления технической поддержки.</a:t>
          </a:r>
        </a:p>
        <a:p>
          <a:pPr algn="just"/>
          <a:r>
            <a:rPr lang="ru-RU" sz="1100" b="0" i="0" u="none" strike="noStrike" baseline="0">
              <a:solidFill>
                <a:schemeClr val="dk1"/>
              </a:solidFill>
              <a:latin typeface="+mn-lt"/>
              <a:ea typeface="+mn-ea"/>
              <a:cs typeface="Arial" panose="020B0604020202020204" pitchFamily="34" charset="0"/>
            </a:rPr>
            <a:t>• Перераспределение квот на терминальные подключения между терминальными</a:t>
          </a:r>
          <a:r>
            <a:rPr lang="en-US" sz="1100" b="0" i="0" u="none" strike="noStrike" baseline="0">
              <a:solidFill>
                <a:schemeClr val="dk1"/>
              </a:solidFill>
              <a:latin typeface="+mn-lt"/>
              <a:ea typeface="+mn-ea"/>
              <a:cs typeface="Arial" panose="020B0604020202020204" pitchFamily="34" charset="0"/>
            </a:rPr>
            <a:t> </a:t>
          </a:r>
          <a:r>
            <a:rPr lang="ru-RU" sz="1100" b="0" i="0" u="none" strike="noStrike" baseline="0">
              <a:solidFill>
                <a:schemeClr val="dk1"/>
              </a:solidFill>
              <a:latin typeface="+mn-lt"/>
              <a:ea typeface="+mn-ea"/>
              <a:cs typeface="Arial" panose="020B0604020202020204" pitchFamily="34" charset="0"/>
            </a:rPr>
            <a:t>серверами или на количество клиентов </a:t>
          </a:r>
          <a:r>
            <a:rPr lang="en-US" sz="1100" b="0" i="0" u="none" strike="noStrike" baseline="0">
              <a:solidFill>
                <a:schemeClr val="dk1"/>
              </a:solidFill>
              <a:latin typeface="+mn-lt"/>
              <a:ea typeface="+mn-ea"/>
              <a:cs typeface="Arial" panose="020B0604020202020204" pitchFamily="34" charset="0"/>
            </a:rPr>
            <a:t>Dallas Lock </a:t>
          </a:r>
          <a:r>
            <a:rPr lang="ru-RU" sz="1100" b="0" i="0" u="none" strike="noStrike" baseline="0">
              <a:solidFill>
                <a:schemeClr val="dk1"/>
              </a:solidFill>
              <a:latin typeface="+mn-lt"/>
              <a:ea typeface="+mn-ea"/>
              <a:cs typeface="Arial" panose="020B0604020202020204" pitchFamily="34" charset="0"/>
            </a:rPr>
            <a:t>между Серверами безопасности.</a:t>
          </a:r>
        </a:p>
        <a:p>
          <a:pPr algn="just"/>
          <a:r>
            <a:rPr lang="ru-RU" sz="1100" b="0" i="0" u="none" strike="noStrike" baseline="0">
              <a:solidFill>
                <a:schemeClr val="dk1"/>
              </a:solidFill>
              <a:latin typeface="+mn-lt"/>
              <a:ea typeface="+mn-ea"/>
              <a:cs typeface="Arial" panose="020B0604020202020204" pitchFamily="34" charset="0"/>
            </a:rPr>
            <a:t>• Создание новых доменов безопасности </a:t>
          </a:r>
          <a:r>
            <a:rPr lang="en-US" sz="1100" b="0" i="0" u="none" strike="noStrike" baseline="0">
              <a:solidFill>
                <a:schemeClr val="dk1"/>
              </a:solidFill>
              <a:latin typeface="+mn-lt"/>
              <a:ea typeface="+mn-ea"/>
              <a:cs typeface="Arial" panose="020B0604020202020204" pitchFamily="34" charset="0"/>
            </a:rPr>
            <a:t>Dallas Lock </a:t>
          </a:r>
          <a:r>
            <a:rPr lang="ru-RU" sz="1100" b="0" i="0" u="none" strike="noStrike" baseline="0">
              <a:solidFill>
                <a:schemeClr val="dk1"/>
              </a:solidFill>
              <a:latin typeface="+mn-lt"/>
              <a:ea typeface="+mn-ea"/>
              <a:cs typeface="Arial" panose="020B0604020202020204" pitchFamily="34" charset="0"/>
            </a:rPr>
            <a:t>в рамках общей квоты</a:t>
          </a:r>
          <a:r>
            <a:rPr lang="en-US" sz="1100" b="0" i="0" u="none" strike="noStrike" baseline="0">
              <a:solidFill>
                <a:schemeClr val="dk1"/>
              </a:solidFill>
              <a:latin typeface="+mn-lt"/>
              <a:ea typeface="+mn-ea"/>
              <a:cs typeface="Arial" panose="020B0604020202020204" pitchFamily="34" charset="0"/>
            </a:rPr>
            <a:t> </a:t>
          </a:r>
          <a:r>
            <a:rPr lang="ru-RU" sz="1100" b="0" i="0" u="none" strike="noStrike" baseline="0">
              <a:solidFill>
                <a:schemeClr val="dk1"/>
              </a:solidFill>
              <a:latin typeface="+mn-lt"/>
              <a:ea typeface="+mn-ea"/>
              <a:cs typeface="Arial" panose="020B0604020202020204" pitchFamily="34" charset="0"/>
            </a:rPr>
            <a:t>клиентских лицензий, назначение дополнительных терминальных серверов</a:t>
          </a:r>
          <a:r>
            <a:rPr lang="en-US" sz="1100" b="0" i="0" u="none" strike="noStrike" baseline="0">
              <a:solidFill>
                <a:schemeClr val="dk1"/>
              </a:solidFill>
              <a:latin typeface="+mn-lt"/>
              <a:ea typeface="+mn-ea"/>
              <a:cs typeface="Arial" panose="020B0604020202020204" pitchFamily="34" charset="0"/>
            </a:rPr>
            <a:t> </a:t>
          </a:r>
          <a:r>
            <a:rPr lang="ru-RU" sz="1100" b="0" i="0" u="none" strike="noStrike" baseline="0">
              <a:solidFill>
                <a:schemeClr val="dk1"/>
              </a:solidFill>
              <a:latin typeface="+mn-lt"/>
              <a:ea typeface="+mn-ea"/>
              <a:cs typeface="Arial" panose="020B0604020202020204" pitchFamily="34" charset="0"/>
            </a:rPr>
            <a:t>в рамках общей квоты</a:t>
          </a:r>
          <a:r>
            <a:rPr lang="en-US" sz="1100" b="0" i="0" u="none" strike="noStrike" baseline="0">
              <a:solidFill>
                <a:schemeClr val="dk1"/>
              </a:solidFill>
              <a:latin typeface="+mn-lt"/>
              <a:ea typeface="+mn-ea"/>
              <a:cs typeface="Arial" panose="020B0604020202020204" pitchFamily="34" charset="0"/>
            </a:rPr>
            <a:t> </a:t>
          </a:r>
          <a:r>
            <a:rPr lang="ru-RU" sz="1100" b="0" i="0" u="none" strike="noStrike" baseline="0">
              <a:solidFill>
                <a:schemeClr val="dk1"/>
              </a:solidFill>
              <a:latin typeface="+mn-lt"/>
              <a:ea typeface="+mn-ea"/>
              <a:cs typeface="Arial" panose="020B0604020202020204" pitchFamily="34" charset="0"/>
            </a:rPr>
            <a:t>лицензий на терминальные подключения к </a:t>
          </a:r>
          <a:r>
            <a:rPr lang="en-US" sz="1100" b="0" i="0" u="none" strike="noStrike" baseline="0">
              <a:solidFill>
                <a:schemeClr val="dk1"/>
              </a:solidFill>
              <a:latin typeface="+mn-lt"/>
              <a:ea typeface="+mn-ea"/>
              <a:cs typeface="Arial" panose="020B0604020202020204" pitchFamily="34" charset="0"/>
            </a:rPr>
            <a:t>Dallas Lock.</a:t>
          </a:r>
        </a:p>
        <a:p>
          <a:pPr algn="just"/>
          <a:r>
            <a:rPr lang="ru-RU" sz="1100" b="0" i="0" u="none" strike="noStrike" baseline="0">
              <a:solidFill>
                <a:schemeClr val="dk1"/>
              </a:solidFill>
              <a:latin typeface="+mn-lt"/>
              <a:ea typeface="+mn-ea"/>
              <a:cs typeface="Arial" panose="020B0604020202020204" pitchFamily="34" charset="0"/>
            </a:rPr>
            <a:t>• Перераспределение квот на количество процессоров гипервизоров для</a:t>
          </a:r>
          <a:r>
            <a:rPr lang="en-US" sz="1100" b="0" i="0" u="none" strike="noStrike" baseline="0">
              <a:solidFill>
                <a:schemeClr val="dk1"/>
              </a:solidFill>
              <a:latin typeface="+mn-lt"/>
              <a:ea typeface="+mn-ea"/>
              <a:cs typeface="Arial" panose="020B0604020202020204" pitchFamily="34" charset="0"/>
            </a:rPr>
            <a:t> </a:t>
          </a:r>
          <a:r>
            <a:rPr lang="ru-RU" sz="1100" b="0" i="0" u="none" strike="noStrike" baseline="0">
              <a:solidFill>
                <a:schemeClr val="dk1"/>
              </a:solidFill>
              <a:latin typeface="+mn-lt"/>
              <a:ea typeface="+mn-ea"/>
              <a:cs typeface="Arial" panose="020B0604020202020204" pitchFamily="34" charset="0"/>
            </a:rPr>
            <a:t>СЗИ ВИ </a:t>
          </a:r>
          <a:r>
            <a:rPr lang="en-US" sz="1100" b="0" i="0" u="none" strike="noStrike" baseline="0">
              <a:solidFill>
                <a:schemeClr val="dk1"/>
              </a:solidFill>
              <a:latin typeface="+mn-lt"/>
              <a:ea typeface="+mn-ea"/>
              <a:cs typeface="Arial" panose="020B0604020202020204" pitchFamily="34" charset="0"/>
            </a:rPr>
            <a:t>Dallas Lock.</a:t>
          </a:r>
        </a:p>
        <a:p>
          <a:pPr algn="just"/>
          <a:r>
            <a:rPr lang="ru-RU" sz="1100" b="0" i="0" u="none" strike="noStrike" baseline="0">
              <a:solidFill>
                <a:schemeClr val="dk1"/>
              </a:solidFill>
              <a:latin typeface="+mn-lt"/>
              <a:ea typeface="+mn-ea"/>
              <a:cs typeface="Arial" panose="020B0604020202020204" pitchFamily="34" charset="0"/>
            </a:rPr>
            <a:t>• Сокращение затрат на внедрение, администрирование и модернизацию</a:t>
          </a:r>
          <a:r>
            <a:rPr lang="en-US" sz="1100" b="0" i="0" u="none" strike="noStrike" baseline="0">
              <a:solidFill>
                <a:schemeClr val="dk1"/>
              </a:solidFill>
              <a:latin typeface="+mn-lt"/>
              <a:ea typeface="+mn-ea"/>
              <a:cs typeface="Arial" panose="020B0604020202020204" pitchFamily="34" charset="0"/>
            </a:rPr>
            <a:t> Dallas Lock </a:t>
          </a:r>
          <a:r>
            <a:rPr lang="ru-RU" sz="1100" b="0" i="0" u="none" strike="noStrike" baseline="0">
              <a:solidFill>
                <a:schemeClr val="dk1"/>
              </a:solidFill>
              <a:latin typeface="+mn-lt"/>
              <a:ea typeface="+mn-ea"/>
              <a:cs typeface="Arial" panose="020B0604020202020204" pitchFamily="34" charset="0"/>
            </a:rPr>
            <a:t>в распределенных инфраструктурах.</a:t>
          </a:r>
        </a:p>
        <a:p>
          <a:pPr algn="just"/>
          <a:r>
            <a:rPr lang="ru-RU" sz="1100" b="0" i="0" u="none" strike="noStrike" baseline="0">
              <a:solidFill>
                <a:schemeClr val="dk1"/>
              </a:solidFill>
              <a:latin typeface="+mn-lt"/>
              <a:ea typeface="+mn-ea"/>
              <a:cs typeface="Arial" panose="020B0604020202020204" pitchFamily="34" charset="0"/>
            </a:rPr>
            <a:t>• Сокращение затрат на приобретение и обновление лицензий на Серверы</a:t>
          </a:r>
          <a:r>
            <a:rPr lang="en-US" sz="1100" b="0" i="0" u="none" strike="noStrike" baseline="0">
              <a:solidFill>
                <a:schemeClr val="dk1"/>
              </a:solidFill>
              <a:latin typeface="+mn-lt"/>
              <a:ea typeface="+mn-ea"/>
              <a:cs typeface="Arial" panose="020B0604020202020204" pitchFamily="34" charset="0"/>
            </a:rPr>
            <a:t> </a:t>
          </a:r>
          <a:r>
            <a:rPr lang="ru-RU" sz="1100" b="0" i="0" u="none" strike="noStrike" baseline="0">
              <a:solidFill>
                <a:schemeClr val="dk1"/>
              </a:solidFill>
              <a:latin typeface="+mn-lt"/>
              <a:ea typeface="+mn-ea"/>
              <a:cs typeface="Arial" panose="020B0604020202020204" pitchFamily="34" charset="0"/>
            </a:rPr>
            <a:t>безопасности </a:t>
          </a:r>
          <a:r>
            <a:rPr lang="en-US" sz="1100" b="0" i="0" u="none" strike="noStrike" baseline="0">
              <a:solidFill>
                <a:schemeClr val="dk1"/>
              </a:solidFill>
              <a:latin typeface="+mn-lt"/>
              <a:ea typeface="+mn-ea"/>
              <a:cs typeface="Arial" panose="020B0604020202020204" pitchFamily="34" charset="0"/>
            </a:rPr>
            <a:t>Dallas Lock </a:t>
          </a:r>
          <a:r>
            <a:rPr lang="ru-RU" sz="1100" b="0" i="0" u="none" strike="noStrike" baseline="0">
              <a:solidFill>
                <a:schemeClr val="dk1"/>
              </a:solidFill>
              <a:latin typeface="+mn-lt"/>
              <a:ea typeface="+mn-ea"/>
              <a:cs typeface="Arial" panose="020B0604020202020204" pitchFamily="34" charset="0"/>
            </a:rPr>
            <a:t>и терминальные подключения.</a:t>
          </a:r>
        </a:p>
        <a:p>
          <a:pPr algn="just"/>
          <a:r>
            <a:rPr lang="ru-RU" sz="1100" b="0" i="0" u="none" strike="noStrike" baseline="0">
              <a:solidFill>
                <a:schemeClr val="dk1"/>
              </a:solidFill>
              <a:latin typeface="+mn-lt"/>
              <a:ea typeface="+mn-ea"/>
              <a:cs typeface="Arial" panose="020B0604020202020204" pitchFamily="34" charset="0"/>
            </a:rPr>
            <a:t>• Повышение надежности комплексной системы защиты информации за счет</a:t>
          </a:r>
          <a:r>
            <a:rPr lang="en-US" sz="1100" b="0" i="0" u="none" strike="noStrike" baseline="0">
              <a:solidFill>
                <a:schemeClr val="dk1"/>
              </a:solidFill>
              <a:latin typeface="+mn-lt"/>
              <a:ea typeface="+mn-ea"/>
              <a:cs typeface="Arial" panose="020B0604020202020204" pitchFamily="34" charset="0"/>
            </a:rPr>
            <a:t> </a:t>
          </a:r>
          <a:r>
            <a:rPr lang="ru-RU" sz="1100" b="0" i="0" u="none" strike="noStrike" baseline="0">
              <a:solidFill>
                <a:schemeClr val="dk1"/>
              </a:solidFill>
              <a:latin typeface="+mn-lt"/>
              <a:ea typeface="+mn-ea"/>
              <a:cs typeface="Arial" panose="020B0604020202020204" pitchFamily="34" charset="0"/>
            </a:rPr>
            <a:t>создания</a:t>
          </a:r>
          <a:r>
            <a:rPr lang="en-US" sz="1100" b="0" i="0" u="none" strike="noStrike" baseline="0">
              <a:solidFill>
                <a:schemeClr val="dk1"/>
              </a:solidFill>
              <a:latin typeface="+mn-lt"/>
              <a:ea typeface="+mn-ea"/>
              <a:cs typeface="Arial" panose="020B0604020202020204" pitchFamily="34" charset="0"/>
            </a:rPr>
            <a:t> </a:t>
          </a:r>
          <a:r>
            <a:rPr lang="ru-RU" sz="1100" b="0" i="0" u="none" strike="noStrike" baseline="0">
              <a:solidFill>
                <a:schemeClr val="dk1"/>
              </a:solidFill>
              <a:latin typeface="+mn-lt"/>
              <a:ea typeface="+mn-ea"/>
              <a:cs typeface="Arial" panose="020B0604020202020204" pitchFamily="34" charset="0"/>
            </a:rPr>
            <a:t>реплицируемых доменов безопасности и работы с фермами терминальных серверов.</a:t>
          </a:r>
        </a:p>
        <a:p>
          <a:pPr algn="just"/>
          <a:endParaRPr lang="en-US" sz="1100" b="1" i="0" u="none" strike="noStrike" baseline="0">
            <a:solidFill>
              <a:schemeClr val="dk1"/>
            </a:solidFill>
            <a:latin typeface="+mn-lt"/>
            <a:ea typeface="+mn-ea"/>
            <a:cs typeface="Arial" panose="020B0604020202020204" pitchFamily="34" charset="0"/>
          </a:endParaRPr>
        </a:p>
        <a:p>
          <a:pPr algn="just"/>
          <a:r>
            <a:rPr lang="ru-RU" sz="1100" b="1" i="0" u="none" strike="noStrike" baseline="0">
              <a:solidFill>
                <a:schemeClr val="dk1"/>
              </a:solidFill>
              <a:latin typeface="+mn-lt"/>
              <a:ea typeface="+mn-ea"/>
              <a:cs typeface="Arial" panose="020B0604020202020204" pitchFamily="34" charset="0"/>
            </a:rPr>
            <a:t>Сервер лицензий </a:t>
          </a:r>
          <a:r>
            <a:rPr lang="en-US" sz="1100" b="1" i="0" u="none" strike="noStrike" baseline="0">
              <a:solidFill>
                <a:schemeClr val="dk1"/>
              </a:solidFill>
              <a:latin typeface="+mn-lt"/>
              <a:ea typeface="+mn-ea"/>
              <a:cs typeface="Arial" panose="020B0604020202020204" pitchFamily="34" charset="0"/>
            </a:rPr>
            <a:t>Dallas Lock 8</a:t>
          </a:r>
        </a:p>
        <a:p>
          <a:pPr algn="just"/>
          <a:r>
            <a:rPr lang="ru-RU" sz="1100" b="0" i="0" u="none" strike="noStrike" baseline="0">
              <a:solidFill>
                <a:schemeClr val="dk1"/>
              </a:solidFill>
              <a:latin typeface="+mn-lt"/>
              <a:ea typeface="+mn-ea"/>
              <a:cs typeface="Arial" panose="020B0604020202020204" pitchFamily="34" charset="0"/>
            </a:rPr>
            <a:t>Рекомендуется применение в виртуализированной инфраструктуре, при</a:t>
          </a:r>
          <a:r>
            <a:rPr lang="en-US" sz="1100" b="0" i="0" u="none" strike="noStrike" baseline="0">
              <a:solidFill>
                <a:schemeClr val="dk1"/>
              </a:solidFill>
              <a:latin typeface="+mn-lt"/>
              <a:ea typeface="+mn-ea"/>
              <a:cs typeface="Arial" panose="020B0604020202020204" pitchFamily="34" charset="0"/>
            </a:rPr>
            <a:t> </a:t>
          </a:r>
          <a:r>
            <a:rPr lang="ru-RU" sz="1100" b="0" i="0" u="none" strike="noStrike" baseline="0">
              <a:solidFill>
                <a:schemeClr val="dk1"/>
              </a:solidFill>
              <a:latin typeface="+mn-lt"/>
              <a:ea typeface="+mn-ea"/>
              <a:cs typeface="Arial" panose="020B0604020202020204" pitchFamily="34" charset="0"/>
            </a:rPr>
            <a:t>построении</a:t>
          </a:r>
          <a:r>
            <a:rPr lang="en-US" sz="1100" b="0" i="0" u="none" strike="noStrike" baseline="0">
              <a:solidFill>
                <a:schemeClr val="dk1"/>
              </a:solidFill>
              <a:latin typeface="+mn-lt"/>
              <a:ea typeface="+mn-ea"/>
              <a:cs typeface="Arial" panose="020B0604020202020204" pitchFamily="34" charset="0"/>
            </a:rPr>
            <a:t> </a:t>
          </a:r>
          <a:r>
            <a:rPr lang="ru-RU" sz="1100" b="0" i="0" u="none" strike="noStrike" baseline="0">
              <a:solidFill>
                <a:schemeClr val="dk1"/>
              </a:solidFill>
              <a:latin typeface="+mn-lt"/>
              <a:ea typeface="+mn-ea"/>
              <a:cs typeface="Arial" panose="020B0604020202020204" pitchFamily="34" charset="0"/>
            </a:rPr>
            <a:t>отказоустойчивых терминальных систем и кластеров безопасности, а также при</a:t>
          </a:r>
          <a:r>
            <a:rPr lang="en-US" sz="1100" b="0" i="0" u="none" strike="noStrike" baseline="0">
              <a:solidFill>
                <a:schemeClr val="dk1"/>
              </a:solidFill>
              <a:latin typeface="+mn-lt"/>
              <a:ea typeface="+mn-ea"/>
              <a:cs typeface="Arial" panose="020B0604020202020204" pitchFamily="34" charset="0"/>
            </a:rPr>
            <a:t> </a:t>
          </a:r>
          <a:r>
            <a:rPr lang="ru-RU" sz="1100" b="0" i="0" u="none" strike="noStrike" baseline="0">
              <a:solidFill>
                <a:schemeClr val="dk1"/>
              </a:solidFill>
              <a:latin typeface="+mn-lt"/>
              <a:ea typeface="+mn-ea"/>
              <a:cs typeface="Arial" panose="020B0604020202020204" pitchFamily="34" charset="0"/>
            </a:rPr>
            <a:t>необходимости гибкого перераспределения общей квоты</a:t>
          </a:r>
          <a:r>
            <a:rPr lang="en-US" sz="1100" b="0" i="0" u="none" strike="noStrike" baseline="0">
              <a:solidFill>
                <a:schemeClr val="dk1"/>
              </a:solidFill>
              <a:latin typeface="+mn-lt"/>
              <a:ea typeface="+mn-ea"/>
              <a:cs typeface="Arial" panose="020B0604020202020204" pitchFamily="34" charset="0"/>
            </a:rPr>
            <a:t> </a:t>
          </a:r>
          <a:r>
            <a:rPr lang="ru-RU" sz="1100" b="0" i="0" u="none" strike="noStrike" baseline="0">
              <a:solidFill>
                <a:schemeClr val="dk1"/>
              </a:solidFill>
              <a:latin typeface="+mn-lt"/>
              <a:ea typeface="+mn-ea"/>
              <a:cs typeface="Arial" panose="020B0604020202020204" pitchFamily="34" charset="0"/>
            </a:rPr>
            <a:t>клиентских лицензий </a:t>
          </a:r>
          <a:r>
            <a:rPr lang="en-US" sz="1100" b="0" i="0" u="none" strike="noStrike" baseline="0">
              <a:solidFill>
                <a:schemeClr val="dk1"/>
              </a:solidFill>
              <a:latin typeface="+mn-lt"/>
              <a:ea typeface="+mn-ea"/>
              <a:cs typeface="Arial" panose="020B0604020202020204" pitchFamily="34" charset="0"/>
            </a:rPr>
            <a:t>Dallas Lock </a:t>
          </a:r>
          <a:r>
            <a:rPr lang="ru-RU" sz="1100" b="0" i="0" u="none" strike="noStrike" baseline="0">
              <a:solidFill>
                <a:schemeClr val="dk1"/>
              </a:solidFill>
              <a:latin typeface="+mn-lt"/>
              <a:ea typeface="+mn-ea"/>
              <a:cs typeface="Arial" panose="020B0604020202020204" pitchFamily="34" charset="0"/>
            </a:rPr>
            <a:t>между Серверами безопасности </a:t>
          </a:r>
          <a:r>
            <a:rPr lang="en-US" sz="1100" b="0" i="0" u="none" strike="noStrike" baseline="0">
              <a:solidFill>
                <a:schemeClr val="dk1"/>
              </a:solidFill>
              <a:latin typeface="+mn-lt"/>
              <a:ea typeface="+mn-ea"/>
              <a:cs typeface="Arial" panose="020B0604020202020204" pitchFamily="34" charset="0"/>
            </a:rPr>
            <a:t>Dallas Lock.</a:t>
          </a:r>
        </a:p>
        <a:p>
          <a:pPr algn="just"/>
          <a:endParaRPr lang="en-US" sz="1100" b="0" i="0" u="none" strike="noStrike" baseline="0">
            <a:solidFill>
              <a:schemeClr val="dk1"/>
            </a:solidFill>
            <a:latin typeface="+mn-lt"/>
            <a:ea typeface="+mn-ea"/>
            <a:cs typeface="Arial" panose="020B0604020202020204" pitchFamily="34" charset="0"/>
          </a:endParaRPr>
        </a:p>
        <a:p>
          <a:pPr algn="just"/>
          <a:r>
            <a:rPr lang="ru-RU" sz="1100" b="0" i="0" u="none" strike="noStrike" baseline="0">
              <a:solidFill>
                <a:schemeClr val="dk1"/>
              </a:solidFill>
              <a:latin typeface="+mn-lt"/>
              <a:ea typeface="+mn-ea"/>
              <a:cs typeface="Arial" panose="020B0604020202020204" pitchFamily="34" charset="0"/>
            </a:rPr>
            <a:t>Для функционирования Сервера лицензий необходимо приобретение лицензий на Серверы безопасности </a:t>
          </a:r>
          <a:r>
            <a:rPr lang="en-US" sz="1100" b="0" i="0" u="none" strike="noStrike" baseline="0">
              <a:solidFill>
                <a:schemeClr val="dk1"/>
              </a:solidFill>
              <a:latin typeface="+mn-lt"/>
              <a:ea typeface="+mn-ea"/>
              <a:cs typeface="Arial" panose="020B0604020202020204" pitchFamily="34" charset="0"/>
            </a:rPr>
            <a:t>Dallas Lock (</a:t>
          </a:r>
          <a:r>
            <a:rPr lang="ru-RU" sz="1100" b="0" i="0" u="none" strike="noStrike" baseline="0">
              <a:solidFill>
                <a:schemeClr val="dk1"/>
              </a:solidFill>
              <a:latin typeface="+mn-lt"/>
              <a:ea typeface="+mn-ea"/>
              <a:cs typeface="Arial" panose="020B0604020202020204" pitchFamily="34" charset="0"/>
            </a:rPr>
            <a:t>общая квота клиентских лицензий</a:t>
          </a:r>
          <a:r>
            <a:rPr lang="en-US" sz="1100" b="0" i="0" u="none" strike="noStrike" baseline="0">
              <a:solidFill>
                <a:schemeClr val="dk1"/>
              </a:solidFill>
              <a:latin typeface="+mn-lt"/>
              <a:ea typeface="+mn-ea"/>
              <a:cs typeface="Arial" panose="020B0604020202020204" pitchFamily="34" charset="0"/>
            </a:rPr>
            <a:t> </a:t>
          </a:r>
          <a:r>
            <a:rPr lang="ru-RU" sz="1100" b="0" i="0" u="none" strike="noStrike" baseline="0">
              <a:solidFill>
                <a:schemeClr val="dk1"/>
              </a:solidFill>
              <a:latin typeface="+mn-lt"/>
              <a:ea typeface="+mn-ea"/>
              <a:cs typeface="Arial" panose="020B0604020202020204" pitchFamily="34" charset="0"/>
            </a:rPr>
            <a:t>будет равна сумме квот по каждому Серверу безопасности) и лицензий на</a:t>
          </a:r>
          <a:r>
            <a:rPr lang="en-US" sz="1100" b="0" i="0" u="none" strike="noStrike" baseline="0">
              <a:solidFill>
                <a:schemeClr val="dk1"/>
              </a:solidFill>
              <a:latin typeface="+mn-lt"/>
              <a:ea typeface="+mn-ea"/>
              <a:cs typeface="Arial" panose="020B0604020202020204" pitchFamily="34" charset="0"/>
            </a:rPr>
            <a:t> </a:t>
          </a:r>
          <a:r>
            <a:rPr lang="ru-RU" sz="1100" b="0" i="0" u="none" strike="noStrike" baseline="0">
              <a:solidFill>
                <a:schemeClr val="dk1"/>
              </a:solidFill>
              <a:latin typeface="+mn-lt"/>
              <a:ea typeface="+mn-ea"/>
              <a:cs typeface="Arial" panose="020B0604020202020204" pitchFamily="34" charset="0"/>
            </a:rPr>
            <a:t>терминальные подключения.</a:t>
          </a:r>
        </a:p>
        <a:p>
          <a:pPr algn="just"/>
          <a:r>
            <a:rPr lang="ru-RU" sz="1100" b="0" i="0" u="none" strike="noStrike" baseline="0">
              <a:solidFill>
                <a:schemeClr val="dk1"/>
              </a:solidFill>
              <a:latin typeface="+mn-lt"/>
              <a:ea typeface="+mn-ea"/>
              <a:cs typeface="Arial" panose="020B0604020202020204" pitchFamily="34" charset="0"/>
            </a:rPr>
            <a:t>Для увеличения общей квоты клиентских лицензий необходимо приобретение</a:t>
          </a:r>
          <a:r>
            <a:rPr lang="en-US" sz="1100" b="0" i="0" u="none" strike="noStrike" baseline="0">
              <a:solidFill>
                <a:schemeClr val="dk1"/>
              </a:solidFill>
              <a:latin typeface="+mn-lt"/>
              <a:ea typeface="+mn-ea"/>
              <a:cs typeface="Arial" panose="020B0604020202020204" pitchFamily="34" charset="0"/>
            </a:rPr>
            <a:t> </a:t>
          </a:r>
          <a:r>
            <a:rPr lang="ru-RU" sz="1100" b="0" i="0" u="none" strike="noStrike" baseline="0">
              <a:solidFill>
                <a:schemeClr val="dk1"/>
              </a:solidFill>
              <a:latin typeface="+mn-lt"/>
              <a:ea typeface="+mn-ea"/>
              <a:cs typeface="Arial" panose="020B0604020202020204" pitchFamily="34" charset="0"/>
            </a:rPr>
            <a:t>лицензий на Сервер безопасности </a:t>
          </a:r>
          <a:r>
            <a:rPr lang="en-US" sz="1100" b="0" i="0" u="none" strike="noStrike" baseline="0">
              <a:solidFill>
                <a:schemeClr val="dk1"/>
              </a:solidFill>
              <a:latin typeface="+mn-lt"/>
              <a:ea typeface="+mn-ea"/>
              <a:cs typeface="Arial" panose="020B0604020202020204" pitchFamily="34" charset="0"/>
            </a:rPr>
            <a:t>Dallas Lock </a:t>
          </a:r>
          <a:r>
            <a:rPr lang="ru-RU" sz="1100" b="0" i="0" u="none" strike="noStrike" baseline="0">
              <a:solidFill>
                <a:schemeClr val="dk1"/>
              </a:solidFill>
              <a:latin typeface="+mn-lt"/>
              <a:ea typeface="+mn-ea"/>
              <a:cs typeface="Arial" panose="020B0604020202020204" pitchFamily="34" charset="0"/>
            </a:rPr>
            <a:t>соответствующего диапазона.</a:t>
          </a:r>
          <a:endParaRPr lang="en-US" sz="1100" b="0" i="0" u="none" strike="noStrike" baseline="0">
            <a:solidFill>
              <a:schemeClr val="dk1"/>
            </a:solidFill>
            <a:latin typeface="+mn-lt"/>
            <a:ea typeface="+mn-ea"/>
            <a:cs typeface="Arial" panose="020B0604020202020204" pitchFamily="34" charset="0"/>
          </a:endParaRPr>
        </a:p>
      </xdr:txBody>
    </xdr:sp>
    <xdr:clientData/>
  </xdr:twoCellAnchor>
  <xdr:twoCellAnchor>
    <xdr:from>
      <xdr:col>3</xdr:col>
      <xdr:colOff>61633</xdr:colOff>
      <xdr:row>16</xdr:row>
      <xdr:rowOff>76759</xdr:rowOff>
    </xdr:from>
    <xdr:to>
      <xdr:col>12</xdr:col>
      <xdr:colOff>56030</xdr:colOff>
      <xdr:row>46</xdr:row>
      <xdr:rowOff>168089</xdr:rowOff>
    </xdr:to>
    <xdr:sp macro="" textlink="">
      <xdr:nvSpPr>
        <xdr:cNvPr id="5" name="TextBox 4">
          <a:extLst>
            <a:ext uri="{FF2B5EF4-FFF2-40B4-BE49-F238E27FC236}">
              <a16:creationId xmlns:a16="http://schemas.microsoft.com/office/drawing/2014/main" xmlns="" id="{00000000-0008-0000-0B00-000005000000}"/>
            </a:ext>
          </a:extLst>
        </xdr:cNvPr>
        <xdr:cNvSpPr txBox="1"/>
      </xdr:nvSpPr>
      <xdr:spPr>
        <a:xfrm>
          <a:off x="5877486" y="6475318"/>
          <a:ext cx="6460191" cy="580633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ru-RU" sz="1100" b="1" i="0" u="none" strike="noStrike" baseline="0">
              <a:solidFill>
                <a:schemeClr val="dk1"/>
              </a:solidFill>
              <a:latin typeface="+mn-lt"/>
              <a:ea typeface="+mn-ea"/>
              <a:cs typeface="Arial" panose="020B0604020202020204" pitchFamily="34" charset="0"/>
            </a:rPr>
            <a:t>Комплект поставки</a:t>
          </a:r>
        </a:p>
        <a:p>
          <a:pPr algn="just"/>
          <a:r>
            <a:rPr lang="ru-RU" sz="1100" b="0" i="0" u="none" strike="noStrike" baseline="0">
              <a:solidFill>
                <a:schemeClr val="dk1"/>
              </a:solidFill>
              <a:latin typeface="+mn-lt"/>
              <a:ea typeface="+mn-ea"/>
              <a:cs typeface="Arial" panose="020B0604020202020204" pitchFamily="34" charset="0"/>
            </a:rPr>
            <a:t>Включает одну лицензию на СЗИ </a:t>
          </a:r>
          <a:r>
            <a:rPr lang="en-US" sz="1100" b="0" i="0" u="none" strike="noStrike" baseline="0">
              <a:solidFill>
                <a:schemeClr val="dk1"/>
              </a:solidFill>
              <a:latin typeface="+mn-lt"/>
              <a:ea typeface="+mn-ea"/>
              <a:cs typeface="Arial" panose="020B0604020202020204" pitchFamily="34" charset="0"/>
            </a:rPr>
            <a:t>Dallas Lock 8.0 </a:t>
          </a:r>
          <a:r>
            <a:rPr lang="ru-RU" sz="1100" b="0" i="0" u="none" strike="noStrike" baseline="0">
              <a:solidFill>
                <a:schemeClr val="dk1"/>
              </a:solidFill>
              <a:latin typeface="+mn-lt"/>
              <a:ea typeface="+mn-ea"/>
              <a:cs typeface="Arial" panose="020B0604020202020204" pitchFamily="34" charset="0"/>
            </a:rPr>
            <a:t>соответствующей редакции</a:t>
          </a:r>
          <a:r>
            <a:rPr lang="en-US" sz="1100" b="0" i="0" u="none" strike="noStrike" baseline="0">
              <a:solidFill>
                <a:schemeClr val="dk1"/>
              </a:solidFill>
              <a:latin typeface="+mn-lt"/>
              <a:ea typeface="+mn-ea"/>
              <a:cs typeface="Arial" panose="020B0604020202020204" pitchFamily="34" charset="0"/>
            </a:rPr>
            <a:t> («K» </a:t>
          </a:r>
          <a:r>
            <a:rPr lang="ru-RU" sz="1100" b="0" i="0" u="none" strike="noStrike" baseline="0">
              <a:solidFill>
                <a:schemeClr val="dk1"/>
              </a:solidFill>
              <a:latin typeface="+mn-lt"/>
              <a:ea typeface="+mn-ea"/>
              <a:cs typeface="Arial" panose="020B0604020202020204" pitchFamily="34" charset="0"/>
            </a:rPr>
            <a:t>или «С»), сертифицированный комплект для установки СЗИ </a:t>
          </a:r>
          <a:r>
            <a:rPr lang="en-US" sz="1100" b="0" i="0" u="none" strike="noStrike" baseline="0">
              <a:solidFill>
                <a:schemeClr val="dk1"/>
              </a:solidFill>
              <a:latin typeface="+mn-lt"/>
              <a:ea typeface="+mn-ea"/>
              <a:cs typeface="Arial" panose="020B0604020202020204" pitchFamily="34" charset="0"/>
            </a:rPr>
            <a:t>Dallas Lock </a:t>
          </a:r>
          <a:r>
            <a:rPr lang="ru-RU" sz="1100" b="0" i="0" u="none" strike="noStrike" baseline="0">
              <a:solidFill>
                <a:schemeClr val="dk1"/>
              </a:solidFill>
              <a:latin typeface="+mn-lt"/>
              <a:ea typeface="+mn-ea"/>
              <a:cs typeface="Arial" panose="020B0604020202020204" pitchFamily="34" charset="0"/>
            </a:rPr>
            <a:t>и лицензионный </a:t>
          </a:r>
          <a:r>
            <a:rPr lang="en-US" sz="1100" b="0" i="0" u="none" strike="noStrike" baseline="0">
              <a:solidFill>
                <a:schemeClr val="dk1"/>
              </a:solidFill>
              <a:latin typeface="+mn-lt"/>
              <a:ea typeface="+mn-ea"/>
              <a:cs typeface="Arial" panose="020B0604020202020204" pitchFamily="34" charset="0"/>
            </a:rPr>
            <a:t>USB-</a:t>
          </a:r>
          <a:r>
            <a:rPr lang="ru-RU" sz="1100" b="0" i="0" u="none" strike="noStrike" baseline="0">
              <a:solidFill>
                <a:schemeClr val="dk1"/>
              </a:solidFill>
              <a:latin typeface="+mn-lt"/>
              <a:ea typeface="+mn-ea"/>
              <a:cs typeface="Arial" panose="020B0604020202020204" pitchFamily="34" charset="0"/>
            </a:rPr>
            <a:t>ключ Сервера лицензий </a:t>
          </a:r>
          <a:r>
            <a:rPr lang="en-US" sz="1100" b="0" i="0" u="none" strike="noStrike" baseline="0">
              <a:solidFill>
                <a:schemeClr val="dk1"/>
              </a:solidFill>
              <a:latin typeface="+mn-lt"/>
              <a:ea typeface="+mn-ea"/>
              <a:cs typeface="Arial" panose="020B0604020202020204" pitchFamily="34" charset="0"/>
            </a:rPr>
            <a:t>Dallas Lock </a:t>
          </a:r>
          <a:r>
            <a:rPr lang="ru-RU" sz="1100" b="0" i="0" u="none" strike="noStrike" baseline="0">
              <a:solidFill>
                <a:schemeClr val="dk1"/>
              </a:solidFill>
              <a:latin typeface="+mn-lt"/>
              <a:ea typeface="+mn-ea"/>
              <a:cs typeface="Arial" panose="020B0604020202020204" pitchFamily="34" charset="0"/>
            </a:rPr>
            <a:t>с указанием максимального количества терминальных серверов и доменов безопасности, которыми можно управлять.</a:t>
          </a:r>
        </a:p>
        <a:p>
          <a:pPr algn="just"/>
          <a:endParaRPr lang="en-US" sz="1100" b="1" i="0" u="none" strike="noStrike" baseline="0">
            <a:solidFill>
              <a:schemeClr val="dk1"/>
            </a:solidFill>
            <a:latin typeface="+mn-lt"/>
            <a:ea typeface="+mn-ea"/>
            <a:cs typeface="Arial" panose="020B0604020202020204" pitchFamily="34" charset="0"/>
          </a:endParaRPr>
        </a:p>
        <a:p>
          <a:pPr algn="just"/>
          <a:r>
            <a:rPr lang="ru-RU" sz="1100" b="1" i="0" u="none" strike="noStrike" baseline="0">
              <a:solidFill>
                <a:schemeClr val="dk1"/>
              </a:solidFill>
              <a:latin typeface="+mn-lt"/>
              <a:ea typeface="+mn-ea"/>
              <a:cs typeface="Arial" panose="020B0604020202020204" pitchFamily="34" charset="0"/>
            </a:rPr>
            <a:t>Техническая поддержка</a:t>
          </a:r>
        </a:p>
        <a:p>
          <a:pPr marL="0" marR="0" lvl="0" indent="0" algn="just" defTabSz="914400" eaLnBrk="1" fontAlgn="auto" latinLnBrk="0" hangingPunct="1">
            <a:lnSpc>
              <a:spcPct val="100000"/>
            </a:lnSpc>
            <a:spcBef>
              <a:spcPts val="0"/>
            </a:spcBef>
            <a:spcAft>
              <a:spcPts val="0"/>
            </a:spcAft>
            <a:buClrTx/>
            <a:buSzTx/>
            <a:buFontTx/>
            <a:buNone/>
            <a:tabLst/>
            <a:defRPr/>
          </a:pPr>
          <a:r>
            <a:rPr lang="ru-RU" sz="1100" b="0" i="0" baseline="0">
              <a:solidFill>
                <a:schemeClr val="dk1"/>
              </a:solidFill>
              <a:effectLst/>
              <a:latin typeface="+mn-lt"/>
              <a:ea typeface="+mn-ea"/>
              <a:cs typeface="+mn-cs"/>
            </a:rPr>
            <a:t>При первичном приобретении гарантийное сопровождение (основной пакет) в течение 1 года включено в стоимость (окончание артикула </a:t>
          </a:r>
          <a:r>
            <a:rPr lang="en-US" sz="1100" b="1" i="0" baseline="0">
              <a:solidFill>
                <a:schemeClr val="dk1"/>
              </a:solidFill>
              <a:effectLst/>
              <a:latin typeface="+mn-lt"/>
              <a:ea typeface="+mn-ea"/>
              <a:cs typeface="+mn-cs"/>
            </a:rPr>
            <a:t>z = 12M</a:t>
          </a:r>
          <a:r>
            <a:rPr lang="ru-RU" sz="1100" b="0" i="0" baseline="0">
              <a:solidFill>
                <a:schemeClr val="dk1"/>
              </a:solidFill>
              <a:effectLst/>
              <a:latin typeface="+mn-lt"/>
              <a:ea typeface="+mn-ea"/>
              <a:cs typeface="+mn-cs"/>
            </a:rPr>
            <a:t>).</a:t>
          </a:r>
          <a:r>
            <a:rPr lang="en-US" sz="1100" b="0" i="0" baseline="0">
              <a:solidFill>
                <a:schemeClr val="dk1"/>
              </a:solidFill>
              <a:effectLst/>
              <a:latin typeface="+mn-lt"/>
              <a:ea typeface="+mn-ea"/>
              <a:cs typeface="+mn-cs"/>
            </a:rPr>
            <a:t> </a:t>
          </a:r>
          <a:r>
            <a:rPr lang="ru-RU" sz="1100" b="0" i="0" baseline="0">
              <a:solidFill>
                <a:schemeClr val="dk1"/>
              </a:solidFill>
              <a:effectLst/>
              <a:latin typeface="+mn-lt"/>
              <a:ea typeface="+mn-ea"/>
              <a:cs typeface="+mn-cs"/>
            </a:rPr>
            <a:t>В случае приобретения лицензий с гарантийным сопровождением (основной пакет) на 3 года, стоимость лицензии умножается на коэффициент </a:t>
          </a:r>
          <a:r>
            <a:rPr lang="ru-RU" sz="1100" b="1" i="0" baseline="0">
              <a:solidFill>
                <a:schemeClr val="dk1"/>
              </a:solidFill>
              <a:effectLst/>
              <a:latin typeface="+mn-lt"/>
              <a:ea typeface="+mn-ea"/>
              <a:cs typeface="+mn-cs"/>
            </a:rPr>
            <a:t>1,35</a:t>
          </a:r>
          <a:r>
            <a:rPr lang="ru-RU" sz="1100" b="0" i="0" baseline="0">
              <a:solidFill>
                <a:schemeClr val="dk1"/>
              </a:solidFill>
              <a:effectLst/>
              <a:latin typeface="+mn-lt"/>
              <a:ea typeface="+mn-ea"/>
              <a:cs typeface="+mn-cs"/>
            </a:rPr>
            <a:t> (</a:t>
          </a:r>
          <a:r>
            <a:rPr lang="en-US" sz="1100" b="1" i="0" baseline="0">
              <a:solidFill>
                <a:schemeClr val="dk1"/>
              </a:solidFill>
              <a:effectLst/>
              <a:latin typeface="+mn-lt"/>
              <a:ea typeface="+mn-ea"/>
              <a:cs typeface="+mn-cs"/>
            </a:rPr>
            <a:t>z = 36M</a:t>
          </a:r>
          <a:r>
            <a:rPr lang="ru-RU" sz="1100" b="0" i="0" baseline="0">
              <a:solidFill>
                <a:schemeClr val="dk1"/>
              </a:solidFill>
              <a:effectLst/>
              <a:latin typeface="+mn-lt"/>
              <a:ea typeface="+mn-ea"/>
              <a:cs typeface="+mn-cs"/>
            </a:rPr>
            <a:t>). При первичном приобретении с техническим сопровождением расширенного пакета «24х7» окончания артикулов </a:t>
          </a:r>
          <a:r>
            <a:rPr lang="en-US" sz="1100" b="1" i="0" baseline="0">
              <a:solidFill>
                <a:schemeClr val="dk1"/>
              </a:solidFill>
              <a:effectLst/>
              <a:latin typeface="+mn-lt"/>
              <a:ea typeface="+mn-ea"/>
              <a:cs typeface="+mn-cs"/>
            </a:rPr>
            <a:t>12M</a:t>
          </a:r>
          <a:r>
            <a:rPr lang="en-US" sz="1100" b="0" i="0" baseline="0">
              <a:solidFill>
                <a:schemeClr val="dk1"/>
              </a:solidFill>
              <a:effectLst/>
              <a:latin typeface="+mn-lt"/>
              <a:ea typeface="+mn-ea"/>
              <a:cs typeface="+mn-cs"/>
            </a:rPr>
            <a:t>, </a:t>
          </a:r>
          <a:r>
            <a:rPr lang="en-US" sz="1100" b="1" i="0" baseline="0">
              <a:solidFill>
                <a:schemeClr val="dk1"/>
              </a:solidFill>
              <a:effectLst/>
              <a:latin typeface="+mn-lt"/>
              <a:ea typeface="+mn-ea"/>
              <a:cs typeface="+mn-cs"/>
            </a:rPr>
            <a:t>36M</a:t>
          </a:r>
          <a:r>
            <a:rPr lang="ru-RU" sz="1100" b="0" i="0" baseline="0">
              <a:solidFill>
                <a:schemeClr val="dk1"/>
              </a:solidFill>
              <a:effectLst/>
              <a:latin typeface="+mn-lt"/>
              <a:ea typeface="+mn-ea"/>
              <a:cs typeface="+mn-cs"/>
            </a:rPr>
            <a:t> заменяются на </a:t>
          </a:r>
          <a:r>
            <a:rPr lang="en-US" sz="1100" b="1" i="0" baseline="0">
              <a:solidFill>
                <a:schemeClr val="dk1"/>
              </a:solidFill>
              <a:effectLst/>
              <a:latin typeface="+mn-lt"/>
              <a:ea typeface="+mn-ea"/>
              <a:cs typeface="+mn-cs"/>
            </a:rPr>
            <a:t>12M247</a:t>
          </a:r>
          <a:r>
            <a:rPr lang="ru-RU" sz="1100" b="0" i="0" baseline="0">
              <a:solidFill>
                <a:schemeClr val="dk1"/>
              </a:solidFill>
              <a:effectLst/>
              <a:latin typeface="+mn-lt"/>
              <a:ea typeface="+mn-ea"/>
              <a:cs typeface="+mn-cs"/>
            </a:rPr>
            <a:t>, </a:t>
          </a:r>
          <a:r>
            <a:rPr lang="en-US" sz="1100" b="1" i="0" baseline="0">
              <a:solidFill>
                <a:schemeClr val="dk1"/>
              </a:solidFill>
              <a:effectLst/>
              <a:latin typeface="+mn-lt"/>
              <a:ea typeface="+mn-ea"/>
              <a:cs typeface="+mn-cs"/>
            </a:rPr>
            <a:t>36M247</a:t>
          </a:r>
          <a:r>
            <a:rPr lang="en-US" sz="1100" b="0" i="0" baseline="0">
              <a:solidFill>
                <a:schemeClr val="dk1"/>
              </a:solidFill>
              <a:effectLst/>
              <a:latin typeface="+mn-lt"/>
              <a:ea typeface="+mn-ea"/>
              <a:cs typeface="+mn-cs"/>
            </a:rPr>
            <a:t> </a:t>
          </a:r>
          <a:r>
            <a:rPr lang="ru-RU" sz="1100" b="0" i="0" baseline="0">
              <a:solidFill>
                <a:schemeClr val="dk1"/>
              </a:solidFill>
              <a:effectLst/>
              <a:latin typeface="+mn-lt"/>
              <a:ea typeface="+mn-ea"/>
              <a:cs typeface="+mn-cs"/>
            </a:rPr>
            <a:t>соответственно.</a:t>
          </a:r>
          <a:endParaRPr lang="ru-RU">
            <a:effectLst/>
          </a:endParaRPr>
        </a:p>
        <a:p>
          <a:r>
            <a:rPr lang="ru-RU" sz="1100" b="0" i="0" baseline="0">
              <a:solidFill>
                <a:schemeClr val="dk1"/>
              </a:solidFill>
              <a:effectLst/>
              <a:latin typeface="+mn-lt"/>
              <a:ea typeface="+mn-ea"/>
              <a:cs typeface="+mn-cs"/>
            </a:rPr>
            <a:t>Продление технического сопровождения оформляется в виде сертификата на код активации технической поддержки. </a:t>
          </a:r>
          <a:r>
            <a:rPr lang="ru-RU" sz="1100">
              <a:solidFill>
                <a:schemeClr val="dk1"/>
              </a:solidFill>
              <a:effectLst/>
              <a:latin typeface="+mn-lt"/>
              <a:ea typeface="+mn-ea"/>
              <a:cs typeface="+mn-cs"/>
            </a:rPr>
            <a:t>Сертификат передается по УПД или товарной накладной по форме ТОРГ-12 с оформлением счета-фактуры.</a:t>
          </a:r>
          <a:endParaRPr lang="ru-RU">
            <a:effectLst/>
          </a:endParaRPr>
        </a:p>
        <a:p>
          <a:pPr algn="just"/>
          <a:r>
            <a:rPr lang="ru-RU" sz="1100" b="0" i="0" baseline="0">
              <a:solidFill>
                <a:schemeClr val="dk1"/>
              </a:solidFill>
              <a:effectLst/>
              <a:latin typeface="+mn-lt"/>
              <a:ea typeface="+mn-ea"/>
              <a:cs typeface="+mn-cs"/>
            </a:rPr>
            <a:t>Стоимость последующего технического сопровождения (основной пакет) составляет 20% (15% для лицензий с артикулом </a:t>
          </a:r>
          <a:r>
            <a:rPr lang="en-US" sz="1100" b="0" i="0" baseline="0">
              <a:solidFill>
                <a:schemeClr val="dk1"/>
              </a:solidFill>
              <a:effectLst/>
              <a:latin typeface="+mn-lt"/>
              <a:ea typeface="+mn-ea"/>
              <a:cs typeface="+mn-cs"/>
            </a:rPr>
            <a:t>*</a:t>
          </a:r>
          <a:r>
            <a:rPr lang="ru-RU" sz="1100" b="0" i="0" baseline="0">
              <a:solidFill>
                <a:schemeClr val="dk1"/>
              </a:solidFill>
              <a:effectLst/>
              <a:latin typeface="+mn-lt"/>
              <a:ea typeface="+mn-ea"/>
              <a:cs typeface="+mn-cs"/>
            </a:rPr>
            <a:t>.36</a:t>
          </a:r>
          <a:r>
            <a:rPr lang="en-US" sz="1100" b="0" i="0" baseline="0">
              <a:solidFill>
                <a:schemeClr val="dk1"/>
              </a:solidFill>
              <a:effectLst/>
              <a:latin typeface="+mn-lt"/>
              <a:ea typeface="+mn-ea"/>
              <a:cs typeface="+mn-cs"/>
            </a:rPr>
            <a:t>M</a:t>
          </a:r>
          <a:r>
            <a:rPr lang="ru-RU" sz="1100" b="0" i="0" baseline="0">
              <a:solidFill>
                <a:schemeClr val="dk1"/>
              </a:solidFill>
              <a:effectLst/>
              <a:latin typeface="+mn-lt"/>
              <a:ea typeface="+mn-ea"/>
              <a:cs typeface="+mn-cs"/>
            </a:rPr>
            <a:t>) от стоимости лицензий в год. При оплате технического сопровождения (основной пакет) вперед на 3 года действует скидка – стоимость продления составит 55% (40% для лицензий с артикулом </a:t>
          </a:r>
          <a:r>
            <a:rPr lang="en-US" sz="1100" b="0" i="0" baseline="0">
              <a:solidFill>
                <a:schemeClr val="dk1"/>
              </a:solidFill>
              <a:effectLst/>
              <a:latin typeface="+mn-lt"/>
              <a:ea typeface="+mn-ea"/>
              <a:cs typeface="+mn-cs"/>
            </a:rPr>
            <a:t>*</a:t>
          </a:r>
          <a:r>
            <a:rPr lang="ru-RU" sz="1100" b="0" i="0" baseline="0">
              <a:solidFill>
                <a:schemeClr val="dk1"/>
              </a:solidFill>
              <a:effectLst/>
              <a:latin typeface="+mn-lt"/>
              <a:ea typeface="+mn-ea"/>
              <a:cs typeface="+mn-cs"/>
            </a:rPr>
            <a:t>.36</a:t>
          </a:r>
          <a:r>
            <a:rPr lang="en-US" sz="1100" b="0" i="0" baseline="0">
              <a:solidFill>
                <a:schemeClr val="dk1"/>
              </a:solidFill>
              <a:effectLst/>
              <a:latin typeface="+mn-lt"/>
              <a:ea typeface="+mn-ea"/>
              <a:cs typeface="+mn-cs"/>
            </a:rPr>
            <a:t>M</a:t>
          </a:r>
          <a:r>
            <a:rPr lang="ru-RU" sz="1100" b="0" i="0" baseline="0">
              <a:solidFill>
                <a:schemeClr val="dk1"/>
              </a:solidFill>
              <a:effectLst/>
              <a:latin typeface="+mn-lt"/>
              <a:ea typeface="+mn-ea"/>
              <a:cs typeface="+mn-cs"/>
            </a:rPr>
            <a:t>) от розничной стоимости лицензий. Стоимость последующего технического сопровождения (расширенный пакет «24х7») составляет 30% (22% для лицензий с артикулом </a:t>
          </a:r>
          <a:r>
            <a:rPr lang="en-US" sz="1100" b="0" i="0" baseline="0">
              <a:solidFill>
                <a:schemeClr val="dk1"/>
              </a:solidFill>
              <a:effectLst/>
              <a:latin typeface="+mn-lt"/>
              <a:ea typeface="+mn-ea"/>
              <a:cs typeface="+mn-cs"/>
            </a:rPr>
            <a:t>*</a:t>
          </a:r>
          <a:r>
            <a:rPr lang="ru-RU" sz="1100" b="0" i="0" baseline="0">
              <a:solidFill>
                <a:schemeClr val="dk1"/>
              </a:solidFill>
              <a:effectLst/>
              <a:latin typeface="+mn-lt"/>
              <a:ea typeface="+mn-ea"/>
              <a:cs typeface="+mn-cs"/>
            </a:rPr>
            <a:t>.36</a:t>
          </a:r>
          <a:r>
            <a:rPr lang="en-US" sz="1100" b="0" i="0" baseline="0">
              <a:solidFill>
                <a:schemeClr val="dk1"/>
              </a:solidFill>
              <a:effectLst/>
              <a:latin typeface="+mn-lt"/>
              <a:ea typeface="+mn-ea"/>
              <a:cs typeface="+mn-cs"/>
            </a:rPr>
            <a:t>M</a:t>
          </a:r>
          <a:r>
            <a:rPr lang="ru-RU" sz="1100" b="0" i="0" baseline="0">
              <a:solidFill>
                <a:schemeClr val="dk1"/>
              </a:solidFill>
              <a:effectLst/>
              <a:latin typeface="+mn-lt"/>
              <a:ea typeface="+mn-ea"/>
              <a:cs typeface="+mn-cs"/>
            </a:rPr>
            <a:t>) от стоимости лицензий в год. При оплате технического сопровождения (расширенный пакет «24х7») вперед на 3 года действует скидка – стоимость продления составит 80% (60% для лицензий с артикулом </a:t>
          </a:r>
          <a:r>
            <a:rPr lang="en-US" sz="1100" b="0" i="0" baseline="0">
              <a:solidFill>
                <a:schemeClr val="dk1"/>
              </a:solidFill>
              <a:effectLst/>
              <a:latin typeface="+mn-lt"/>
              <a:ea typeface="+mn-ea"/>
              <a:cs typeface="+mn-cs"/>
            </a:rPr>
            <a:t>*</a:t>
          </a:r>
          <a:r>
            <a:rPr lang="ru-RU" sz="1100" b="0" i="0" baseline="0">
              <a:solidFill>
                <a:schemeClr val="dk1"/>
              </a:solidFill>
              <a:effectLst/>
              <a:latin typeface="+mn-lt"/>
              <a:ea typeface="+mn-ea"/>
              <a:cs typeface="+mn-cs"/>
            </a:rPr>
            <a:t>.36</a:t>
          </a:r>
          <a:r>
            <a:rPr lang="en-US" sz="1100" b="0" i="0" baseline="0">
              <a:solidFill>
                <a:schemeClr val="dk1"/>
              </a:solidFill>
              <a:effectLst/>
              <a:latin typeface="+mn-lt"/>
              <a:ea typeface="+mn-ea"/>
              <a:cs typeface="+mn-cs"/>
            </a:rPr>
            <a:t>M</a:t>
          </a:r>
          <a:r>
            <a:rPr lang="ru-RU" sz="1100" b="0" i="0" baseline="0">
              <a:solidFill>
                <a:schemeClr val="dk1"/>
              </a:solidFill>
              <a:effectLst/>
              <a:latin typeface="+mn-lt"/>
              <a:ea typeface="+mn-ea"/>
              <a:cs typeface="+mn-cs"/>
            </a:rPr>
            <a:t>) от стоимости лицензий. При продлении технического сопровождения оплачивается также весь период с момента окончания гарантийного или технического сопровождения.</a:t>
          </a:r>
          <a:endParaRPr lang="ru-RU">
            <a:effectLst/>
          </a:endParaRPr>
        </a:p>
        <a:p>
          <a:pPr algn="just"/>
          <a:r>
            <a:rPr lang="ru-RU" sz="1100" b="0" i="0" baseline="0">
              <a:solidFill>
                <a:schemeClr val="dk1"/>
              </a:solidFill>
              <a:effectLst/>
              <a:latin typeface="+mn-lt"/>
              <a:ea typeface="+mn-ea"/>
              <a:cs typeface="+mn-cs"/>
            </a:rPr>
            <a:t>Стоимость технического сопровождения на устаревших инфраструктурах (при использовании операционных систем с завершившейся поддержкой от вендора, например, таких, как </a:t>
          </a:r>
          <a:r>
            <a:rPr lang="en-US" sz="1100" b="0" i="0" baseline="0">
              <a:solidFill>
                <a:schemeClr val="dk1"/>
              </a:solidFill>
              <a:effectLst/>
              <a:latin typeface="+mn-lt"/>
              <a:ea typeface="+mn-ea"/>
              <a:cs typeface="+mn-cs"/>
            </a:rPr>
            <a:t>Windows XP/2003 Server</a:t>
          </a:r>
          <a:r>
            <a:rPr lang="ru-RU" sz="1100" b="0" i="0" baseline="0">
              <a:solidFill>
                <a:schemeClr val="dk1"/>
              </a:solidFill>
              <a:effectLst/>
              <a:latin typeface="+mn-lt"/>
              <a:ea typeface="+mn-ea"/>
              <a:cs typeface="+mn-cs"/>
            </a:rPr>
            <a:t>/</a:t>
          </a:r>
          <a:r>
            <a:rPr lang="en-US" sz="1100" b="0" i="0" baseline="0">
              <a:solidFill>
                <a:schemeClr val="dk1"/>
              </a:solidFill>
              <a:effectLst/>
              <a:latin typeface="+mn-lt"/>
              <a:ea typeface="+mn-ea"/>
              <a:cs typeface="+mn-cs"/>
            </a:rPr>
            <a:t>Windows 7 </a:t>
          </a:r>
          <a:r>
            <a:rPr lang="ru-RU" sz="1100" b="0" i="0" baseline="0">
              <a:solidFill>
                <a:schemeClr val="dk1"/>
              </a:solidFill>
              <a:effectLst/>
              <a:latin typeface="+mn-lt"/>
              <a:ea typeface="+mn-ea"/>
              <a:cs typeface="+mn-cs"/>
            </a:rPr>
            <a:t>и т.д.</a:t>
          </a:r>
          <a:r>
            <a:rPr lang="en-US" sz="1100" b="0" i="0" baseline="0">
              <a:solidFill>
                <a:schemeClr val="dk1"/>
              </a:solidFill>
              <a:effectLst/>
              <a:latin typeface="+mn-lt"/>
              <a:ea typeface="+mn-ea"/>
              <a:cs typeface="+mn-cs"/>
            </a:rPr>
            <a:t>) </a:t>
          </a:r>
          <a:r>
            <a:rPr lang="ru-RU" sz="1100" b="0" i="0" baseline="0">
              <a:solidFill>
                <a:schemeClr val="dk1"/>
              </a:solidFill>
              <a:effectLst/>
              <a:latin typeface="+mn-lt"/>
              <a:ea typeface="+mn-ea"/>
              <a:cs typeface="+mn-cs"/>
            </a:rPr>
            <a:t>удваивается.</a:t>
          </a:r>
          <a:endParaRPr lang="ru-RU">
            <a:effectLst/>
          </a:endParaRPr>
        </a:p>
        <a:p>
          <a:pPr algn="just"/>
          <a:r>
            <a:rPr lang="ru-RU" sz="1100" b="0" i="0" baseline="0">
              <a:solidFill>
                <a:schemeClr val="dk1"/>
              </a:solidFill>
              <a:effectLst/>
              <a:latin typeface="+mn-lt"/>
              <a:ea typeface="+mn-ea"/>
              <a:cs typeface="+mn-cs"/>
            </a:rPr>
            <a:t>Пользователи программного обеспечения </a:t>
          </a:r>
          <a:r>
            <a:rPr lang="en-US" sz="1100" b="0" i="0" baseline="0">
              <a:solidFill>
                <a:schemeClr val="dk1"/>
              </a:solidFill>
              <a:effectLst/>
              <a:latin typeface="+mn-lt"/>
              <a:ea typeface="+mn-ea"/>
              <a:cs typeface="+mn-cs"/>
            </a:rPr>
            <a:t>Dallas Lock </a:t>
          </a:r>
          <a:r>
            <a:rPr lang="ru-RU" sz="1100" b="0" i="0" baseline="0">
              <a:solidFill>
                <a:schemeClr val="dk1"/>
              </a:solidFill>
              <a:effectLst/>
              <a:latin typeface="+mn-lt"/>
              <a:ea typeface="+mn-ea"/>
              <a:cs typeface="+mn-cs"/>
            </a:rPr>
            <a:t>в рамках гарантийного или непрерывно действующего технического сопровождения имеют право бесплатного обновления лицензий до следующей версии этого решения (с тем же объемом функциональности). Оплачивается только стоимость новых сертифицированных комплектов для установки и 1 год (3 года для лицензий с артикулом </a:t>
          </a:r>
          <a:r>
            <a:rPr lang="en-US" sz="1100" b="0" i="0" baseline="0">
              <a:solidFill>
                <a:schemeClr val="dk1"/>
              </a:solidFill>
              <a:effectLst/>
              <a:latin typeface="+mn-lt"/>
              <a:ea typeface="+mn-ea"/>
              <a:cs typeface="+mn-cs"/>
            </a:rPr>
            <a:t>*</a:t>
          </a:r>
          <a:r>
            <a:rPr lang="ru-RU" sz="1100" b="0" i="0" baseline="0">
              <a:solidFill>
                <a:schemeClr val="dk1"/>
              </a:solidFill>
              <a:effectLst/>
              <a:latin typeface="+mn-lt"/>
              <a:ea typeface="+mn-ea"/>
              <a:cs typeface="+mn-cs"/>
            </a:rPr>
            <a:t>.36</a:t>
          </a:r>
          <a:r>
            <a:rPr lang="en-US" sz="1100" b="0" i="0" baseline="0">
              <a:solidFill>
                <a:schemeClr val="dk1"/>
              </a:solidFill>
              <a:effectLst/>
              <a:latin typeface="+mn-lt"/>
              <a:ea typeface="+mn-ea"/>
              <a:cs typeface="+mn-cs"/>
            </a:rPr>
            <a:t>M</a:t>
          </a:r>
          <a:r>
            <a:rPr lang="ru-RU" sz="1100" b="0" i="0" baseline="0">
              <a:solidFill>
                <a:schemeClr val="dk1"/>
              </a:solidFill>
              <a:effectLst/>
              <a:latin typeface="+mn-lt"/>
              <a:ea typeface="+mn-ea"/>
              <a:cs typeface="+mn-cs"/>
            </a:rPr>
            <a:t>) технической поддержки.</a:t>
          </a:r>
          <a:endParaRPr lang="ru-RU">
            <a:effectLst/>
          </a:endParaRPr>
        </a:p>
      </xdr:txBody>
    </xdr:sp>
    <xdr:clientData/>
  </xdr:twoCellAnchor>
  <xdr:twoCellAnchor>
    <xdr:from>
      <xdr:col>1</xdr:col>
      <xdr:colOff>9525</xdr:colOff>
      <xdr:row>56</xdr:row>
      <xdr:rowOff>4814</xdr:rowOff>
    </xdr:from>
    <xdr:to>
      <xdr:col>11</xdr:col>
      <xdr:colOff>9525</xdr:colOff>
      <xdr:row>60</xdr:row>
      <xdr:rowOff>33620</xdr:rowOff>
    </xdr:to>
    <xdr:grpSp>
      <xdr:nvGrpSpPr>
        <xdr:cNvPr id="6" name="Группа 5">
          <a:extLst>
            <a:ext uri="{FF2B5EF4-FFF2-40B4-BE49-F238E27FC236}">
              <a16:creationId xmlns:a16="http://schemas.microsoft.com/office/drawing/2014/main" xmlns="" id="{00000000-0008-0000-0B00-000006000000}"/>
            </a:ext>
          </a:extLst>
        </xdr:cNvPr>
        <xdr:cNvGrpSpPr/>
      </xdr:nvGrpSpPr>
      <xdr:grpSpPr>
        <a:xfrm>
          <a:off x="95250" y="14368514"/>
          <a:ext cx="12077700" cy="790806"/>
          <a:chOff x="9525" y="12081158"/>
          <a:chExt cx="12372975" cy="852546"/>
        </a:xfrm>
      </xdr:grpSpPr>
      <xdr:sp macro="" textlink="">
        <xdr:nvSpPr>
          <xdr:cNvPr id="7" name="TextBox 6">
            <a:extLst>
              <a:ext uri="{FF2B5EF4-FFF2-40B4-BE49-F238E27FC236}">
                <a16:creationId xmlns:a16="http://schemas.microsoft.com/office/drawing/2014/main" xmlns="" id="{00000000-0008-0000-0B00-000007000000}"/>
              </a:ext>
            </a:extLst>
          </xdr:cNvPr>
          <xdr:cNvSpPr txBox="1"/>
        </xdr:nvSpPr>
        <xdr:spPr>
          <a:xfrm>
            <a:off x="9525" y="12256166"/>
            <a:ext cx="12372975" cy="6775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ru-RU" sz="1100" b="0" i="0" u="none" strike="noStrike" baseline="0">
                <a:solidFill>
                  <a:schemeClr val="dk1"/>
                </a:solidFill>
                <a:latin typeface="+mn-lt"/>
                <a:ea typeface="+mn-ea"/>
                <a:cs typeface="Arial" panose="020B0604020202020204" pitchFamily="34" charset="0"/>
              </a:rPr>
              <a:t>* На основании статьи № 149 п. 2 пп. 26 НК РФ стоимость передаваемых неисключительных прав на используеме программное обеспечение не облагается НДС</a:t>
            </a:r>
            <a:r>
              <a:rPr lang="en-US" sz="1100" b="0" i="0" u="none" strike="noStrike" baseline="0">
                <a:solidFill>
                  <a:schemeClr val="dk1"/>
                </a:solidFill>
                <a:latin typeface="+mn-lt"/>
                <a:ea typeface="+mn-ea"/>
                <a:cs typeface="Arial" panose="020B0604020202020204" pitchFamily="34" charset="0"/>
              </a:rPr>
              <a:t>; </a:t>
            </a:r>
          </a:p>
          <a:p>
            <a:r>
              <a:rPr lang="ru-RU" sz="1100" b="0" i="0" baseline="0">
                <a:solidFill>
                  <a:schemeClr val="dk1"/>
                </a:solidFill>
                <a:effectLst/>
                <a:latin typeface="+mn-lt"/>
                <a:ea typeface="+mn-ea"/>
                <a:cs typeface="+mn-cs"/>
              </a:rPr>
              <a:t>«</a:t>
            </a:r>
            <a:r>
              <a:rPr lang="en-US" sz="1100" b="0" i="0" baseline="0">
                <a:solidFill>
                  <a:schemeClr val="dk1"/>
                </a:solidFill>
                <a:effectLst/>
                <a:latin typeface="+mn-lt"/>
                <a:ea typeface="+mn-ea"/>
                <a:cs typeface="+mn-cs"/>
              </a:rPr>
              <a:t>z» – </a:t>
            </a:r>
            <a:r>
              <a:rPr lang="ru-RU" sz="1100" b="0" i="0" baseline="0">
                <a:solidFill>
                  <a:schemeClr val="dk1"/>
                </a:solidFill>
                <a:effectLst/>
                <a:latin typeface="+mn-lt"/>
                <a:ea typeface="+mn-ea"/>
                <a:cs typeface="+mn-cs"/>
              </a:rPr>
              <a:t>срок оказания гарантийного сопровождения: </a:t>
            </a:r>
            <a:r>
              <a:rPr lang="en-US" sz="1100" b="0" i="0" baseline="0">
                <a:solidFill>
                  <a:schemeClr val="dk1"/>
                </a:solidFill>
                <a:effectLst/>
                <a:latin typeface="+mn-lt"/>
                <a:ea typeface="+mn-ea"/>
                <a:cs typeface="+mn-cs"/>
              </a:rPr>
              <a:t>12M - </a:t>
            </a:r>
            <a:r>
              <a:rPr lang="ru-RU" sz="1100" b="0" i="0" baseline="0">
                <a:solidFill>
                  <a:schemeClr val="dk1"/>
                </a:solidFill>
                <a:effectLst/>
                <a:latin typeface="+mn-lt"/>
                <a:ea typeface="+mn-ea"/>
                <a:cs typeface="+mn-cs"/>
              </a:rPr>
              <a:t>12 месяцев, 36</a:t>
            </a:r>
            <a:r>
              <a:rPr lang="en-US" sz="1100" b="0" i="0" baseline="0">
                <a:solidFill>
                  <a:schemeClr val="dk1"/>
                </a:solidFill>
                <a:effectLst/>
                <a:latin typeface="+mn-lt"/>
                <a:ea typeface="+mn-ea"/>
                <a:cs typeface="+mn-cs"/>
              </a:rPr>
              <a:t>M - </a:t>
            </a:r>
            <a:r>
              <a:rPr lang="ru-RU" sz="1100" b="0" i="0" baseline="0">
                <a:solidFill>
                  <a:schemeClr val="dk1"/>
                </a:solidFill>
                <a:effectLst/>
                <a:latin typeface="+mn-lt"/>
                <a:ea typeface="+mn-ea"/>
                <a:cs typeface="+mn-cs"/>
              </a:rPr>
              <a:t>36 месяцев.</a:t>
            </a:r>
            <a:endParaRPr lang="ru-RU" sz="1100" b="0" i="0" u="none" strike="noStrike" baseline="0">
              <a:solidFill>
                <a:schemeClr val="dk1"/>
              </a:solidFill>
              <a:latin typeface="+mn-lt"/>
              <a:ea typeface="+mn-ea"/>
              <a:cs typeface="Arial" panose="020B0604020202020204" pitchFamily="34" charset="0"/>
            </a:endParaRPr>
          </a:p>
        </xdr:txBody>
      </xdr:sp>
      <xdr:cxnSp macro="">
        <xdr:nvCxnSpPr>
          <xdr:cNvPr id="8" name="Прямая соединительная линия 7">
            <a:extLst>
              <a:ext uri="{FF2B5EF4-FFF2-40B4-BE49-F238E27FC236}">
                <a16:creationId xmlns:a16="http://schemas.microsoft.com/office/drawing/2014/main" xmlns="" id="{00000000-0008-0000-0B00-000008000000}"/>
              </a:ext>
            </a:extLst>
          </xdr:cNvPr>
          <xdr:cNvCxnSpPr/>
        </xdr:nvCxnSpPr>
        <xdr:spPr>
          <a:xfrm>
            <a:off x="76200" y="12081158"/>
            <a:ext cx="4838700" cy="0"/>
          </a:xfrm>
          <a:prstGeom prst="line">
            <a:avLst/>
          </a:prstGeom>
        </xdr:spPr>
        <xdr:style>
          <a:lnRef idx="1">
            <a:schemeClr val="dk1"/>
          </a:lnRef>
          <a:fillRef idx="0">
            <a:schemeClr val="dk1"/>
          </a:fillRef>
          <a:effectRef idx="0">
            <a:schemeClr val="dk1"/>
          </a:effectRef>
          <a:fontRef idx="minor">
            <a:schemeClr val="tx1"/>
          </a:fontRef>
        </xdr:style>
      </xdr:cxnSp>
    </xdr:grpSp>
    <xdr:clientData/>
  </xdr:twoCellAnchor>
  <xdr:twoCellAnchor editAs="oneCell">
    <xdr:from>
      <xdr:col>1</xdr:col>
      <xdr:colOff>0</xdr:colOff>
      <xdr:row>46</xdr:row>
      <xdr:rowOff>149479</xdr:rowOff>
    </xdr:from>
    <xdr:to>
      <xdr:col>11</xdr:col>
      <xdr:colOff>83881</xdr:colOff>
      <xdr:row>55</xdr:row>
      <xdr:rowOff>10583</xdr:rowOff>
    </xdr:to>
    <xdr:pic>
      <xdr:nvPicPr>
        <xdr:cNvPr id="10" name="Рисунок 9">
          <a:extLst>
            <a:ext uri="{FF2B5EF4-FFF2-40B4-BE49-F238E27FC236}">
              <a16:creationId xmlns:a16="http://schemas.microsoft.com/office/drawing/2014/main" xmlns="" id="{00000000-0008-0000-0B00-00000A000000}"/>
            </a:ext>
          </a:extLst>
        </xdr:cNvPr>
        <xdr:cNvPicPr>
          <a:picLocks noChangeAspect="1"/>
        </xdr:cNvPicPr>
      </xdr:nvPicPr>
      <xdr:blipFill>
        <a:blip xmlns:r="http://schemas.openxmlformats.org/officeDocument/2006/relationships" r:embed="rId1"/>
        <a:stretch>
          <a:fillRect/>
        </a:stretch>
      </xdr:blipFill>
      <xdr:spPr>
        <a:xfrm>
          <a:off x="84667" y="12648396"/>
          <a:ext cx="12180631" cy="1575604"/>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xdr:col>
          <xdr:colOff>3695700</xdr:colOff>
          <xdr:row>4</xdr:row>
          <xdr:rowOff>85725</xdr:rowOff>
        </xdr:from>
        <xdr:to>
          <xdr:col>3</xdr:col>
          <xdr:colOff>0</xdr:colOff>
          <xdr:row>6</xdr:row>
          <xdr:rowOff>9525</xdr:rowOff>
        </xdr:to>
        <xdr:sp macro="" textlink="">
          <xdr:nvSpPr>
            <xdr:cNvPr id="15361" name="Check Box 1" hidden="1">
              <a:extLst>
                <a:ext uri="{63B3BB69-23CF-44E3-9099-C40C66FF867C}">
                  <a14:compatExt spid="_x0000_s15361"/>
                </a:ext>
                <a:ext uri="{FF2B5EF4-FFF2-40B4-BE49-F238E27FC236}">
                  <a16:creationId xmlns:a16="http://schemas.microsoft.com/office/drawing/2014/main" xmlns="" id="{00000000-0008-0000-0B00-00000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3</xdr:col>
      <xdr:colOff>313764</xdr:colOff>
      <xdr:row>2</xdr:row>
      <xdr:rowOff>112059</xdr:rowOff>
    </xdr:from>
    <xdr:to>
      <xdr:col>3</xdr:col>
      <xdr:colOff>499523</xdr:colOff>
      <xdr:row>2</xdr:row>
      <xdr:rowOff>297818</xdr:rowOff>
    </xdr:to>
    <xdr:pic>
      <xdr:nvPicPr>
        <xdr:cNvPr id="11" name="Рисунок 10">
          <a:extLst>
            <a:ext uri="{FF2B5EF4-FFF2-40B4-BE49-F238E27FC236}">
              <a16:creationId xmlns:a16="http://schemas.microsoft.com/office/drawing/2014/main" xmlns="" id="{00000000-0008-0000-0B00-00000B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6129617" y="1389530"/>
          <a:ext cx="185759" cy="185759"/>
        </a:xfrm>
        <a:prstGeom prst="rect">
          <a:avLst/>
        </a:prstGeom>
      </xdr:spPr>
    </xdr:pic>
    <xdr:clientData/>
  </xdr:twoCellAnchor>
  <xdr:twoCellAnchor>
    <xdr:from>
      <xdr:col>2</xdr:col>
      <xdr:colOff>152400</xdr:colOff>
      <xdr:row>2</xdr:row>
      <xdr:rowOff>57150</xdr:rowOff>
    </xdr:from>
    <xdr:to>
      <xdr:col>18</xdr:col>
      <xdr:colOff>231882</xdr:colOff>
      <xdr:row>3</xdr:row>
      <xdr:rowOff>77162</xdr:rowOff>
    </xdr:to>
    <xdr:sp macro="" textlink="">
      <xdr:nvSpPr>
        <xdr:cNvPr id="12" name="Прямоугольник 11">
          <a:hlinkClick xmlns:r="http://schemas.openxmlformats.org/officeDocument/2006/relationships" r:id="rId3"/>
          <a:extLst>
            <a:ext uri="{FF2B5EF4-FFF2-40B4-BE49-F238E27FC236}">
              <a16:creationId xmlns:a16="http://schemas.microsoft.com/office/drawing/2014/main" xmlns="" id="{00000000-0008-0000-0B00-00000C000000}"/>
            </a:ext>
          </a:extLst>
        </xdr:cNvPr>
        <xdr:cNvSpPr/>
      </xdr:nvSpPr>
      <xdr:spPr>
        <a:xfrm>
          <a:off x="2047875" y="1333500"/>
          <a:ext cx="12261957" cy="38196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editAs="oneCell">
    <xdr:from>
      <xdr:col>0</xdr:col>
      <xdr:colOff>0</xdr:colOff>
      <xdr:row>0</xdr:row>
      <xdr:rowOff>0</xdr:rowOff>
    </xdr:from>
    <xdr:to>
      <xdr:col>11</xdr:col>
      <xdr:colOff>9524</xdr:colOff>
      <xdr:row>1</xdr:row>
      <xdr:rowOff>1081945</xdr:rowOff>
    </xdr:to>
    <xdr:pic>
      <xdr:nvPicPr>
        <xdr:cNvPr id="13" name="Рисунок 12">
          <a:hlinkClick xmlns:r="http://schemas.openxmlformats.org/officeDocument/2006/relationships" r:id="rId4"/>
          <a:extLst>
            <a:ext uri="{FF2B5EF4-FFF2-40B4-BE49-F238E27FC236}">
              <a16:creationId xmlns:a16="http://schemas.microsoft.com/office/drawing/2014/main" xmlns="" id="{00000000-0008-0000-0B00-00000D000000}"/>
            </a:ext>
          </a:extLst>
        </xdr:cNvPr>
        <xdr:cNvPicPr>
          <a:picLocks noChangeAspect="1"/>
        </xdr:cNvPicPr>
      </xdr:nvPicPr>
      <xdr:blipFill>
        <a:blip xmlns:r="http://schemas.openxmlformats.org/officeDocument/2006/relationships" r:embed="rId5"/>
        <a:stretch>
          <a:fillRect/>
        </a:stretch>
      </xdr:blipFill>
      <xdr:spPr>
        <a:xfrm>
          <a:off x="0" y="0"/>
          <a:ext cx="12201524" cy="127244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10</xdr:col>
          <xdr:colOff>190500</xdr:colOff>
          <xdr:row>4</xdr:row>
          <xdr:rowOff>95250</xdr:rowOff>
        </xdr:from>
        <xdr:to>
          <xdr:col>10</xdr:col>
          <xdr:colOff>447675</xdr:colOff>
          <xdr:row>6</xdr:row>
          <xdr:rowOff>9525</xdr:rowOff>
        </xdr:to>
        <xdr:sp macro="" textlink="">
          <xdr:nvSpPr>
            <xdr:cNvPr id="15363" name="Check Box 3" hidden="1">
              <a:extLst>
                <a:ext uri="{63B3BB69-23CF-44E3-9099-C40C66FF867C}">
                  <a14:compatExt spid="_x0000_s15363"/>
                </a:ext>
                <a:ext uri="{FF2B5EF4-FFF2-40B4-BE49-F238E27FC236}">
                  <a16:creationId xmlns:a16="http://schemas.microsoft.com/office/drawing/2014/main" xmlns="" id="{00000000-0008-0000-0B00-00000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0</xdr:colOff>
      <xdr:row>14</xdr:row>
      <xdr:rowOff>21166</xdr:rowOff>
    </xdr:from>
    <xdr:to>
      <xdr:col>12</xdr:col>
      <xdr:colOff>10583</xdr:colOff>
      <xdr:row>14</xdr:row>
      <xdr:rowOff>551875</xdr:rowOff>
    </xdr:to>
    <xdr:pic>
      <xdr:nvPicPr>
        <xdr:cNvPr id="9" name="Рисунок 8">
          <a:extLst>
            <a:ext uri="{FF2B5EF4-FFF2-40B4-BE49-F238E27FC236}">
              <a16:creationId xmlns:a16="http://schemas.microsoft.com/office/drawing/2014/main" xmlns="" id="{00000000-0008-0000-0B00-000009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0" y="6053666"/>
          <a:ext cx="12276666" cy="530709"/>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9525</xdr:colOff>
      <xdr:row>27</xdr:row>
      <xdr:rowOff>108856</xdr:rowOff>
    </xdr:from>
    <xdr:to>
      <xdr:col>3</xdr:col>
      <xdr:colOff>4082</xdr:colOff>
      <xdr:row>48</xdr:row>
      <xdr:rowOff>168971</xdr:rowOff>
    </xdr:to>
    <xdr:sp macro="" textlink="">
      <xdr:nvSpPr>
        <xdr:cNvPr id="4" name="TextBox 3">
          <a:extLst>
            <a:ext uri="{FF2B5EF4-FFF2-40B4-BE49-F238E27FC236}">
              <a16:creationId xmlns:a16="http://schemas.microsoft.com/office/drawing/2014/main" xmlns="" id="{00000000-0008-0000-0C00-000004000000}"/>
            </a:ext>
          </a:extLst>
        </xdr:cNvPr>
        <xdr:cNvSpPr txBox="1"/>
      </xdr:nvSpPr>
      <xdr:spPr>
        <a:xfrm>
          <a:off x="95250" y="10119631"/>
          <a:ext cx="5680982" cy="40606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ru-RU" sz="1100" b="0" i="0" u="none" strike="noStrike" baseline="0">
              <a:solidFill>
                <a:schemeClr val="dk1"/>
              </a:solidFill>
              <a:latin typeface="+mn-lt"/>
              <a:ea typeface="+mn-ea"/>
              <a:cs typeface="Arial" panose="020B0604020202020204" pitchFamily="34" charset="0"/>
            </a:rPr>
            <a:t>• В стоимость входит НДС 20%.</a:t>
          </a:r>
        </a:p>
        <a:p>
          <a:pPr algn="just"/>
          <a:r>
            <a:rPr lang="ru-RU" sz="1100" b="0" i="0" u="none" strike="noStrike" baseline="0">
              <a:solidFill>
                <a:schemeClr val="dk1"/>
              </a:solidFill>
              <a:latin typeface="+mn-lt"/>
              <a:ea typeface="+mn-ea"/>
              <a:cs typeface="Arial" panose="020B0604020202020204" pitchFamily="34" charset="0"/>
            </a:rPr>
            <a:t>• Цены указаны без учета командировочных расходов.</a:t>
          </a:r>
        </a:p>
        <a:p>
          <a:pPr algn="just"/>
          <a:r>
            <a:rPr lang="ru-RU" sz="1100" b="0" i="0" u="none" strike="noStrike" baseline="0">
              <a:solidFill>
                <a:schemeClr val="dk1"/>
              </a:solidFill>
              <a:latin typeface="+mn-lt"/>
              <a:ea typeface="+mn-ea"/>
              <a:cs typeface="Arial" panose="020B0604020202020204" pitchFamily="34" charset="0"/>
            </a:rPr>
            <a:t>• Трудоемкость расширенной настройки (в т. ч. настройки Сервера лицензий </a:t>
          </a:r>
          <a:r>
            <a:rPr lang="en-US" sz="1100" b="0" i="0" u="none" strike="noStrike" baseline="0">
              <a:solidFill>
                <a:schemeClr val="dk1"/>
              </a:solidFill>
              <a:latin typeface="+mn-lt"/>
              <a:ea typeface="+mn-ea"/>
              <a:cs typeface="Arial" panose="020B0604020202020204" pitchFamily="34" charset="0"/>
            </a:rPr>
            <a:t>Dallas Lock) </a:t>
          </a:r>
          <a:r>
            <a:rPr lang="ru-RU" sz="1100" b="0" i="0" u="none" strike="noStrike" baseline="0">
              <a:solidFill>
                <a:schemeClr val="dk1"/>
              </a:solidFill>
              <a:latin typeface="+mn-lt"/>
              <a:ea typeface="+mn-ea"/>
              <a:cs typeface="Arial" panose="020B0604020202020204" pitchFamily="34" charset="0"/>
            </a:rPr>
            <a:t>зависит от политики безопасности, конфигурации сети, количества пользователей и т. д.</a:t>
          </a:r>
          <a:r>
            <a:rPr lang="en-US" sz="1100" b="0" i="0" u="none" strike="noStrike" baseline="0">
              <a:solidFill>
                <a:schemeClr val="dk1"/>
              </a:solidFill>
              <a:latin typeface="+mn-lt"/>
              <a:ea typeface="+mn-ea"/>
              <a:cs typeface="Arial" panose="020B0604020202020204" pitchFamily="34" charset="0"/>
            </a:rPr>
            <a:t> </a:t>
          </a:r>
          <a:r>
            <a:rPr lang="ru-RU" sz="1100" b="0" i="0" u="none" strike="noStrike" baseline="0">
              <a:solidFill>
                <a:schemeClr val="dk1"/>
              </a:solidFill>
              <a:latin typeface="+mn-lt"/>
              <a:ea typeface="+mn-ea"/>
              <a:cs typeface="Arial" panose="020B0604020202020204" pitchFamily="34" charset="0"/>
            </a:rPr>
            <a:t>Стоимость работ определяется по запросу.</a:t>
          </a:r>
        </a:p>
        <a:p>
          <a:pPr algn="just"/>
          <a:r>
            <a:rPr lang="ru-RU" sz="1100" b="0" i="0" u="none" strike="noStrike" baseline="0">
              <a:solidFill>
                <a:schemeClr val="dk1"/>
              </a:solidFill>
              <a:latin typeface="+mn-lt"/>
              <a:ea typeface="+mn-ea"/>
              <a:cs typeface="Arial" panose="020B0604020202020204" pitchFamily="34" charset="0"/>
            </a:rPr>
            <a:t>• Минимальная стоимость услуг по установке и базовой настройке СЗИ </a:t>
          </a:r>
          <a:r>
            <a:rPr lang="en-US" sz="1100" b="0" i="0" u="none" strike="noStrike" baseline="0">
              <a:solidFill>
                <a:schemeClr val="dk1"/>
              </a:solidFill>
              <a:latin typeface="+mn-lt"/>
              <a:ea typeface="+mn-ea"/>
              <a:cs typeface="Arial" panose="020B0604020202020204" pitchFamily="34" charset="0"/>
            </a:rPr>
            <a:t>Dallas Lock </a:t>
          </a:r>
          <a:r>
            <a:rPr lang="ru-RU" sz="1100" b="0" i="0" u="none" strike="noStrike" baseline="0">
              <a:solidFill>
                <a:schemeClr val="dk1"/>
              </a:solidFill>
              <a:latin typeface="+mn-lt"/>
              <a:ea typeface="+mn-ea"/>
              <a:cs typeface="Arial" panose="020B0604020202020204" pitchFamily="34" charset="0"/>
            </a:rPr>
            <a:t>составляет 10 000 рублей с НДС.</a:t>
          </a:r>
        </a:p>
        <a:p>
          <a:pPr algn="just"/>
          <a:endParaRPr lang="en-US" sz="1100" b="1" i="0" u="none" strike="noStrike" baseline="0">
            <a:solidFill>
              <a:schemeClr val="dk1"/>
            </a:solidFill>
            <a:latin typeface="+mn-lt"/>
            <a:ea typeface="+mn-ea"/>
            <a:cs typeface="Arial" panose="020B0604020202020204" pitchFamily="34" charset="0"/>
          </a:endParaRPr>
        </a:p>
        <a:p>
          <a:pPr algn="just"/>
          <a:r>
            <a:rPr lang="ru-RU" sz="1100" b="1" i="0" u="none" strike="noStrike" baseline="0">
              <a:solidFill>
                <a:schemeClr val="dk1"/>
              </a:solidFill>
              <a:latin typeface="+mn-lt"/>
              <a:ea typeface="+mn-ea"/>
              <a:cs typeface="Arial" panose="020B0604020202020204" pitchFamily="34" charset="0"/>
            </a:rPr>
            <a:t>Для оказания услуг по установке и настройке заказчик должен обеспечить следующие условия:</a:t>
          </a:r>
        </a:p>
        <a:p>
          <a:pPr algn="just"/>
          <a:r>
            <a:rPr lang="ru-RU" sz="1100" b="0" i="0" u="none" strike="noStrike" baseline="0">
              <a:solidFill>
                <a:schemeClr val="dk1"/>
              </a:solidFill>
              <a:latin typeface="+mn-lt"/>
              <a:ea typeface="+mn-ea"/>
              <a:cs typeface="Arial" panose="020B0604020202020204" pitchFamily="34" charset="0"/>
            </a:rPr>
            <a:t>• Предоставить рабочие станции с установленной ОС из списка поддерживаемых данной версией СЗИ </a:t>
          </a:r>
          <a:r>
            <a:rPr lang="en-US" sz="1100" b="0" i="0" u="none" strike="noStrike" baseline="0">
              <a:solidFill>
                <a:schemeClr val="dk1"/>
              </a:solidFill>
              <a:latin typeface="+mn-lt"/>
              <a:ea typeface="+mn-ea"/>
              <a:cs typeface="Arial" panose="020B0604020202020204" pitchFamily="34" charset="0"/>
            </a:rPr>
            <a:t>Dallas Lock, </a:t>
          </a:r>
          <a:r>
            <a:rPr lang="ru-RU" sz="1100" b="0" i="0" u="none" strike="noStrike" baseline="0">
              <a:solidFill>
                <a:schemeClr val="dk1"/>
              </a:solidFill>
              <a:latin typeface="+mn-lt"/>
              <a:ea typeface="+mn-ea"/>
              <a:cs typeface="Arial" panose="020B0604020202020204" pitchFamily="34" charset="0"/>
            </a:rPr>
            <a:t>включая </a:t>
          </a:r>
          <a:r>
            <a:rPr lang="en-US" sz="1100" b="0" i="0" u="none" strike="noStrike" baseline="0">
              <a:solidFill>
                <a:schemeClr val="dk1"/>
              </a:solidFill>
              <a:latin typeface="+mn-lt"/>
              <a:ea typeface="+mn-ea"/>
              <a:cs typeface="Arial" panose="020B0604020202020204" pitchFamily="34" charset="0"/>
            </a:rPr>
            <a:t>Service Pack </a:t>
          </a:r>
          <a:r>
            <a:rPr lang="ru-RU" sz="1100" b="0" i="0" u="none" strike="noStrike" baseline="0">
              <a:solidFill>
                <a:schemeClr val="dk1"/>
              </a:solidFill>
              <a:latin typeface="+mn-lt"/>
              <a:ea typeface="+mn-ea"/>
              <a:cs typeface="Arial" panose="020B0604020202020204" pitchFamily="34" charset="0"/>
            </a:rPr>
            <a:t>и обновления.</a:t>
          </a:r>
          <a:r>
            <a:rPr lang="en-US" sz="1100" b="0" i="0" u="none" strike="noStrike" baseline="0">
              <a:solidFill>
                <a:schemeClr val="dk1"/>
              </a:solidFill>
              <a:latin typeface="+mn-lt"/>
              <a:ea typeface="+mn-ea"/>
              <a:cs typeface="Arial" panose="020B0604020202020204" pitchFamily="34" charset="0"/>
            </a:rPr>
            <a:t> </a:t>
          </a:r>
          <a:r>
            <a:rPr lang="ru-RU" sz="1100" b="0" i="0" u="none" strike="noStrike" baseline="0">
              <a:solidFill>
                <a:schemeClr val="dk1"/>
              </a:solidFill>
              <a:latin typeface="+mn-lt"/>
              <a:ea typeface="+mn-ea"/>
              <a:cs typeface="Arial" panose="020B0604020202020204" pitchFamily="34" charset="0"/>
            </a:rPr>
            <a:t>ОС должна быть</a:t>
          </a:r>
          <a:r>
            <a:rPr lang="en-US" sz="1100" b="0" i="0" u="none" strike="noStrike" baseline="0">
              <a:solidFill>
                <a:schemeClr val="dk1"/>
              </a:solidFill>
              <a:latin typeface="+mn-lt"/>
              <a:ea typeface="+mn-ea"/>
              <a:cs typeface="Arial" panose="020B0604020202020204" pitchFamily="34" charset="0"/>
            </a:rPr>
            <a:t> </a:t>
          </a:r>
          <a:r>
            <a:rPr lang="ru-RU" sz="1100" b="0" i="0" u="none" strike="noStrike" baseline="0">
              <a:solidFill>
                <a:schemeClr val="dk1"/>
              </a:solidFill>
              <a:latin typeface="+mn-lt"/>
              <a:ea typeface="+mn-ea"/>
              <a:cs typeface="Arial" panose="020B0604020202020204" pitchFamily="34" charset="0"/>
            </a:rPr>
            <a:t>установлена в соответствии с требованиями документации к СЗИ </a:t>
          </a:r>
          <a:r>
            <a:rPr lang="en-US" sz="1100" b="0" i="0" u="none" strike="noStrike" baseline="0">
              <a:solidFill>
                <a:schemeClr val="dk1"/>
              </a:solidFill>
              <a:latin typeface="+mn-lt"/>
              <a:ea typeface="+mn-ea"/>
              <a:cs typeface="Arial" panose="020B0604020202020204" pitchFamily="34" charset="0"/>
            </a:rPr>
            <a:t>Dallas Lock.</a:t>
          </a:r>
        </a:p>
        <a:p>
          <a:pPr algn="just"/>
          <a:r>
            <a:rPr lang="ru-RU" sz="1100" b="0" i="0" u="none" strike="noStrike" baseline="0">
              <a:solidFill>
                <a:schemeClr val="dk1"/>
              </a:solidFill>
              <a:latin typeface="+mn-lt"/>
              <a:ea typeface="+mn-ea"/>
              <a:cs typeface="Arial" panose="020B0604020202020204" pitchFamily="34" charset="0"/>
            </a:rPr>
            <a:t>• На рабочих станциях должно быть установлено все необходимое ПО (офис,</a:t>
          </a:r>
          <a:r>
            <a:rPr lang="en-US" sz="1100" b="0" i="0" u="none" strike="noStrike" baseline="0">
              <a:solidFill>
                <a:schemeClr val="dk1"/>
              </a:solidFill>
              <a:latin typeface="+mn-lt"/>
              <a:ea typeface="+mn-ea"/>
              <a:cs typeface="Arial" panose="020B0604020202020204" pitchFamily="34" charset="0"/>
            </a:rPr>
            <a:t> </a:t>
          </a:r>
          <a:r>
            <a:rPr lang="ru-RU" sz="1100" b="0" i="0" u="none" strike="noStrike" baseline="0">
              <a:solidFill>
                <a:schemeClr val="dk1"/>
              </a:solidFill>
              <a:latin typeface="+mn-lt"/>
              <a:ea typeface="+mn-ea"/>
              <a:cs typeface="Arial" panose="020B0604020202020204" pitchFamily="34" charset="0"/>
            </a:rPr>
            <a:t>антивирус и т.д.).</a:t>
          </a:r>
        </a:p>
        <a:p>
          <a:pPr algn="just"/>
          <a:r>
            <a:rPr lang="ru-RU" sz="1100" b="0" i="0" u="none" strike="noStrike" baseline="0">
              <a:solidFill>
                <a:schemeClr val="dk1"/>
              </a:solidFill>
              <a:latin typeface="+mn-lt"/>
              <a:ea typeface="+mn-ea"/>
              <a:cs typeface="Arial" panose="020B0604020202020204" pitchFamily="34" charset="0"/>
            </a:rPr>
            <a:t>• Если предполагается сетевое использование рабочих станций, то на них</a:t>
          </a:r>
          <a:r>
            <a:rPr lang="en-US" sz="1100" b="0" i="0" u="none" strike="noStrike" baseline="0">
              <a:solidFill>
                <a:schemeClr val="dk1"/>
              </a:solidFill>
              <a:latin typeface="+mn-lt"/>
              <a:ea typeface="+mn-ea"/>
              <a:cs typeface="Arial" panose="020B0604020202020204" pitchFamily="34" charset="0"/>
            </a:rPr>
            <a:t> </a:t>
          </a:r>
          <a:r>
            <a:rPr lang="ru-RU" sz="1100" b="0" i="0" u="none" strike="noStrike" baseline="0">
              <a:solidFill>
                <a:schemeClr val="dk1"/>
              </a:solidFill>
              <a:latin typeface="+mn-lt"/>
              <a:ea typeface="+mn-ea"/>
              <a:cs typeface="Arial" panose="020B0604020202020204" pitchFamily="34" charset="0"/>
            </a:rPr>
            <a:t>должна быть установлена </a:t>
          </a:r>
          <a:r>
            <a:rPr lang="en-US" sz="1100" b="0" i="0" u="none" strike="noStrike" baseline="0">
              <a:solidFill>
                <a:schemeClr val="dk1"/>
              </a:solidFill>
              <a:latin typeface="+mn-lt"/>
              <a:ea typeface="+mn-ea"/>
              <a:cs typeface="Arial" panose="020B0604020202020204" pitchFamily="34" charset="0"/>
            </a:rPr>
            <a:t>TCP/IP-</a:t>
          </a:r>
          <a:r>
            <a:rPr lang="ru-RU" sz="1100" b="0" i="0" u="none" strike="noStrike" baseline="0">
              <a:solidFill>
                <a:schemeClr val="dk1"/>
              </a:solidFill>
              <a:latin typeface="+mn-lt"/>
              <a:ea typeface="+mn-ea"/>
              <a:cs typeface="Arial" panose="020B0604020202020204" pitchFamily="34" charset="0"/>
            </a:rPr>
            <a:t>сеть. В сети должна быть правильно работающая </a:t>
          </a:r>
          <a:r>
            <a:rPr lang="en-US" sz="1100" b="0" i="0" u="none" strike="noStrike" baseline="0">
              <a:solidFill>
                <a:schemeClr val="dk1"/>
              </a:solidFill>
              <a:latin typeface="+mn-lt"/>
              <a:ea typeface="+mn-ea"/>
              <a:cs typeface="Arial" panose="020B0604020202020204" pitchFamily="34" charset="0"/>
            </a:rPr>
            <a:t>DNS, </a:t>
          </a:r>
          <a:r>
            <a:rPr lang="ru-RU" sz="1100" b="0" i="0" u="none" strike="noStrike" baseline="0">
              <a:solidFill>
                <a:schemeClr val="dk1"/>
              </a:solidFill>
              <a:latin typeface="+mn-lt"/>
              <a:ea typeface="+mn-ea"/>
              <a:cs typeface="Arial" panose="020B0604020202020204" pitchFamily="34" charset="0"/>
            </a:rPr>
            <a:t>межсетевые экраны не должны блокировать порты, используемые СЗИ </a:t>
          </a:r>
          <a:r>
            <a:rPr lang="en-US" sz="1100" b="0" i="0" u="none" strike="noStrike" baseline="0">
              <a:solidFill>
                <a:schemeClr val="dk1"/>
              </a:solidFill>
              <a:latin typeface="+mn-lt"/>
              <a:ea typeface="+mn-ea"/>
              <a:cs typeface="Arial" panose="020B0604020202020204" pitchFamily="34" charset="0"/>
            </a:rPr>
            <a:t>Dallas Lock </a:t>
          </a:r>
          <a:r>
            <a:rPr lang="ru-RU" sz="1100" b="0" i="0" u="none" strike="noStrike" baseline="0">
              <a:solidFill>
                <a:schemeClr val="dk1"/>
              </a:solidFill>
              <a:latin typeface="+mn-lt"/>
              <a:ea typeface="+mn-ea"/>
              <a:cs typeface="Arial" panose="020B0604020202020204" pitchFamily="34" charset="0"/>
            </a:rPr>
            <a:t>для сетевого взаимодействия.</a:t>
          </a:r>
        </a:p>
        <a:p>
          <a:pPr algn="just"/>
          <a:r>
            <a:rPr lang="ru-RU" sz="1100" b="0" i="0" u="none" strike="noStrike" baseline="0">
              <a:solidFill>
                <a:schemeClr val="dk1"/>
              </a:solidFill>
              <a:latin typeface="+mn-lt"/>
              <a:ea typeface="+mn-ea"/>
              <a:cs typeface="Arial" panose="020B0604020202020204" pitchFamily="34" charset="0"/>
            </a:rPr>
            <a:t>• Если планируется установка СЗИ </a:t>
          </a:r>
          <a:r>
            <a:rPr lang="en-US" sz="1100" b="0" i="0" u="none" strike="noStrike" baseline="0">
              <a:solidFill>
                <a:schemeClr val="dk1"/>
              </a:solidFill>
              <a:latin typeface="+mn-lt"/>
              <a:ea typeface="+mn-ea"/>
              <a:cs typeface="Arial" panose="020B0604020202020204" pitchFamily="34" charset="0"/>
            </a:rPr>
            <a:t>Dallas Lock </a:t>
          </a:r>
          <a:r>
            <a:rPr lang="ru-RU" sz="1100" b="0" i="0" u="none" strike="noStrike" baseline="0">
              <a:solidFill>
                <a:schemeClr val="dk1"/>
              </a:solidFill>
              <a:latin typeface="+mn-lt"/>
              <a:ea typeface="+mn-ea"/>
              <a:cs typeface="Arial" panose="020B0604020202020204" pitchFamily="34" charset="0"/>
            </a:rPr>
            <a:t>на контроллер домена, то серверу роль контроллера домена должна быть дана до установки </a:t>
          </a:r>
          <a:r>
            <a:rPr lang="en-US" sz="1100" b="0" i="0" u="none" strike="noStrike" baseline="0">
              <a:solidFill>
                <a:schemeClr val="dk1"/>
              </a:solidFill>
              <a:latin typeface="+mn-lt"/>
              <a:ea typeface="+mn-ea"/>
              <a:cs typeface="Arial" panose="020B0604020202020204" pitchFamily="34" charset="0"/>
            </a:rPr>
            <a:t>Dallas Lock.</a:t>
          </a:r>
        </a:p>
        <a:p>
          <a:pPr algn="just"/>
          <a:r>
            <a:rPr lang="ru-RU" sz="1100" b="0" i="0" u="none" strike="noStrike" baseline="0">
              <a:solidFill>
                <a:schemeClr val="dk1"/>
              </a:solidFill>
              <a:latin typeface="+mn-lt"/>
              <a:ea typeface="+mn-ea"/>
              <a:cs typeface="Arial" panose="020B0604020202020204" pitchFamily="34" charset="0"/>
            </a:rPr>
            <a:t>• Если рабочие станции должны быть в домене, они уже должны быть в него</a:t>
          </a:r>
          <a:r>
            <a:rPr lang="en-US" sz="1100" b="0" i="0" u="none" strike="noStrike" baseline="0">
              <a:solidFill>
                <a:schemeClr val="dk1"/>
              </a:solidFill>
              <a:latin typeface="+mn-lt"/>
              <a:ea typeface="+mn-ea"/>
              <a:cs typeface="Arial" panose="020B0604020202020204" pitchFamily="34" charset="0"/>
            </a:rPr>
            <a:t> </a:t>
          </a:r>
          <a:r>
            <a:rPr lang="ru-RU" sz="1100" b="0" i="0" u="none" strike="noStrike" baseline="0">
              <a:solidFill>
                <a:schemeClr val="dk1"/>
              </a:solidFill>
              <a:latin typeface="+mn-lt"/>
              <a:ea typeface="+mn-ea"/>
              <a:cs typeface="Arial" panose="020B0604020202020204" pitchFamily="34" charset="0"/>
            </a:rPr>
            <a:t>введены.</a:t>
          </a:r>
        </a:p>
        <a:p>
          <a:pPr algn="just"/>
          <a:r>
            <a:rPr lang="ru-RU" sz="1100" b="0" i="0" u="none" strike="noStrike" baseline="0">
              <a:solidFill>
                <a:schemeClr val="dk1"/>
              </a:solidFill>
              <a:latin typeface="+mn-lt"/>
              <a:ea typeface="+mn-ea"/>
              <a:cs typeface="Arial" panose="020B0604020202020204" pitchFamily="34" charset="0"/>
            </a:rPr>
            <a:t>• Если предполагается использование Сервера безопасности, для него также</a:t>
          </a:r>
          <a:r>
            <a:rPr lang="en-US" sz="1100" b="0" i="0" u="none" strike="noStrike" baseline="0">
              <a:solidFill>
                <a:schemeClr val="dk1"/>
              </a:solidFill>
              <a:latin typeface="+mn-lt"/>
              <a:ea typeface="+mn-ea"/>
              <a:cs typeface="Arial" panose="020B0604020202020204" pitchFamily="34" charset="0"/>
            </a:rPr>
            <a:t> </a:t>
          </a:r>
          <a:r>
            <a:rPr lang="ru-RU" sz="1100" b="0" i="0" u="none" strike="noStrike" baseline="0">
              <a:solidFill>
                <a:schemeClr val="dk1"/>
              </a:solidFill>
              <a:latin typeface="+mn-lt"/>
              <a:ea typeface="+mn-ea"/>
              <a:cs typeface="Arial" panose="020B0604020202020204" pitchFamily="34" charset="0"/>
            </a:rPr>
            <a:t>должен быть подготовлен компьютер.</a:t>
          </a:r>
          <a:endParaRPr lang="en-US" sz="1100" b="0" i="0" u="none" strike="noStrike" baseline="0">
            <a:solidFill>
              <a:schemeClr val="dk1"/>
            </a:solidFill>
            <a:latin typeface="+mn-lt"/>
            <a:ea typeface="+mn-ea"/>
            <a:cs typeface="Arial" panose="020B0604020202020204" pitchFamily="34" charset="0"/>
          </a:endParaRPr>
        </a:p>
      </xdr:txBody>
    </xdr:sp>
    <xdr:clientData/>
  </xdr:twoCellAnchor>
  <xdr:twoCellAnchor>
    <xdr:from>
      <xdr:col>3</xdr:col>
      <xdr:colOff>23132</xdr:colOff>
      <xdr:row>27</xdr:row>
      <xdr:rowOff>99328</xdr:rowOff>
    </xdr:from>
    <xdr:to>
      <xdr:col>12</xdr:col>
      <xdr:colOff>19050</xdr:colOff>
      <xdr:row>48</xdr:row>
      <xdr:rowOff>185056</xdr:rowOff>
    </xdr:to>
    <xdr:sp macro="" textlink="">
      <xdr:nvSpPr>
        <xdr:cNvPr id="5" name="TextBox 4">
          <a:extLst>
            <a:ext uri="{FF2B5EF4-FFF2-40B4-BE49-F238E27FC236}">
              <a16:creationId xmlns:a16="http://schemas.microsoft.com/office/drawing/2014/main" xmlns="" id="{00000000-0008-0000-0C00-000005000000}"/>
            </a:ext>
          </a:extLst>
        </xdr:cNvPr>
        <xdr:cNvSpPr txBox="1"/>
      </xdr:nvSpPr>
      <xdr:spPr>
        <a:xfrm>
          <a:off x="5795282" y="10110103"/>
          <a:ext cx="6339568" cy="408622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ru-RU" sz="1100" b="1" i="0" u="none" strike="noStrike" baseline="0">
              <a:solidFill>
                <a:schemeClr val="dk1"/>
              </a:solidFill>
              <a:latin typeface="+mn-lt"/>
              <a:ea typeface="+mn-ea"/>
              <a:cs typeface="Arial" panose="020B0604020202020204" pitchFamily="34" charset="0"/>
            </a:rPr>
            <a:t>Базовая установка включает в себя:</a:t>
          </a:r>
        </a:p>
        <a:p>
          <a:pPr algn="just"/>
          <a:r>
            <a:rPr lang="ru-RU" sz="1100" b="0" i="0" u="none" strike="noStrike" baseline="0">
              <a:solidFill>
                <a:schemeClr val="dk1"/>
              </a:solidFill>
              <a:latin typeface="+mn-lt"/>
              <a:ea typeface="+mn-ea"/>
              <a:cs typeface="Arial" panose="020B0604020202020204" pitchFamily="34" charset="0"/>
            </a:rPr>
            <a:t>• установку СЗИ </a:t>
          </a:r>
          <a:r>
            <a:rPr lang="en-US" sz="1100" b="0" i="0" u="none" strike="noStrike" baseline="0">
              <a:solidFill>
                <a:schemeClr val="dk1"/>
              </a:solidFill>
              <a:latin typeface="+mn-lt"/>
              <a:ea typeface="+mn-ea"/>
              <a:cs typeface="Arial" panose="020B0604020202020204" pitchFamily="34" charset="0"/>
            </a:rPr>
            <a:t>Dallas Lock;</a:t>
          </a:r>
        </a:p>
        <a:p>
          <a:pPr algn="just"/>
          <a:r>
            <a:rPr lang="ru-RU" sz="1100" b="0" i="0" u="none" strike="noStrike" baseline="0">
              <a:solidFill>
                <a:schemeClr val="dk1"/>
              </a:solidFill>
              <a:latin typeface="+mn-lt"/>
              <a:ea typeface="+mn-ea"/>
              <a:cs typeface="Arial" panose="020B0604020202020204" pitchFamily="34" charset="0"/>
            </a:rPr>
            <a:t>• по необходимости – ввод в домен безопасности;</a:t>
          </a:r>
        </a:p>
        <a:p>
          <a:pPr algn="just"/>
          <a:r>
            <a:rPr lang="ru-RU" sz="1100" b="0" i="0" u="none" strike="noStrike" baseline="0">
              <a:solidFill>
                <a:schemeClr val="dk1"/>
              </a:solidFill>
              <a:latin typeface="+mn-lt"/>
              <a:ea typeface="+mn-ea"/>
              <a:cs typeface="Arial" panose="020B0604020202020204" pitchFamily="34" charset="0"/>
            </a:rPr>
            <a:t>• регистрацию в СЗИ </a:t>
          </a:r>
          <a:r>
            <a:rPr lang="en-US" sz="1100" b="0" i="0" u="none" strike="noStrike" baseline="0">
              <a:solidFill>
                <a:schemeClr val="dk1"/>
              </a:solidFill>
              <a:latin typeface="+mn-lt"/>
              <a:ea typeface="+mn-ea"/>
              <a:cs typeface="Arial" panose="020B0604020202020204" pitchFamily="34" charset="0"/>
            </a:rPr>
            <a:t>Dallas Lock </a:t>
          </a:r>
          <a:r>
            <a:rPr lang="ru-RU" sz="1100" b="0" i="0" u="none" strike="noStrike" baseline="0">
              <a:solidFill>
                <a:schemeClr val="dk1"/>
              </a:solidFill>
              <a:latin typeface="+mn-lt"/>
              <a:ea typeface="+mn-ea"/>
              <a:cs typeface="Arial" panose="020B0604020202020204" pitchFamily="34" charset="0"/>
            </a:rPr>
            <a:t>пользователей (не более 3-х);</a:t>
          </a:r>
        </a:p>
        <a:p>
          <a:pPr algn="just"/>
          <a:r>
            <a:rPr lang="ru-RU" sz="1100" b="0" i="0" u="none" strike="noStrike" baseline="0">
              <a:solidFill>
                <a:schemeClr val="dk1"/>
              </a:solidFill>
              <a:latin typeface="+mn-lt"/>
              <a:ea typeface="+mn-ea"/>
              <a:cs typeface="Arial" panose="020B0604020202020204" pitchFamily="34" charset="0"/>
            </a:rPr>
            <a:t>• настройку политик входа и аудита в соответствии с требованиями заказчика;</a:t>
          </a:r>
        </a:p>
        <a:p>
          <a:pPr algn="just"/>
          <a:r>
            <a:rPr lang="ru-RU" sz="1100" b="0" i="0" u="none" strike="noStrike" baseline="0">
              <a:solidFill>
                <a:schemeClr val="dk1"/>
              </a:solidFill>
              <a:latin typeface="+mn-lt"/>
              <a:ea typeface="+mn-ea"/>
              <a:cs typeface="Arial" panose="020B0604020202020204" pitchFamily="34" charset="0"/>
            </a:rPr>
            <a:t>• по необходимости – настройку ЗПС и мандатного доступа;</a:t>
          </a:r>
        </a:p>
        <a:p>
          <a:pPr algn="just"/>
          <a:r>
            <a:rPr lang="ru-RU" sz="1100" b="0" i="0" u="none" strike="noStrike" baseline="0">
              <a:solidFill>
                <a:schemeClr val="dk1"/>
              </a:solidFill>
              <a:latin typeface="+mn-lt"/>
              <a:ea typeface="+mn-ea"/>
              <a:cs typeface="Arial" panose="020B0604020202020204" pitchFamily="34" charset="0"/>
            </a:rPr>
            <a:t>•</a:t>
          </a:r>
          <a:r>
            <a:rPr lang="en-US" sz="1100" b="0" i="0" u="none" strike="noStrike" baseline="0">
              <a:solidFill>
                <a:schemeClr val="dk1"/>
              </a:solidFill>
              <a:latin typeface="+mn-lt"/>
              <a:ea typeface="+mn-ea"/>
              <a:cs typeface="Arial" panose="020B0604020202020204" pitchFamily="34" charset="0"/>
            </a:rPr>
            <a:t> </a:t>
          </a:r>
          <a:r>
            <a:rPr lang="ru-RU" sz="1100" b="0" i="0" u="none" strike="noStrike" baseline="0">
              <a:solidFill>
                <a:schemeClr val="dk1"/>
              </a:solidFill>
              <a:latin typeface="+mn-lt"/>
              <a:ea typeface="+mn-ea"/>
              <a:cs typeface="Arial" panose="020B0604020202020204" pitchFamily="34" charset="0"/>
            </a:rPr>
            <a:t>демонстрацию администратору информационной безопасности работоспособности настроенной системы;</a:t>
          </a:r>
        </a:p>
        <a:p>
          <a:pPr algn="just"/>
          <a:r>
            <a:rPr lang="ru-RU" sz="1100" b="0" i="0" u="none" strike="noStrike" baseline="0">
              <a:solidFill>
                <a:schemeClr val="dk1"/>
              </a:solidFill>
              <a:latin typeface="+mn-lt"/>
              <a:ea typeface="+mn-ea"/>
              <a:cs typeface="Arial" panose="020B0604020202020204" pitchFamily="34" charset="0"/>
            </a:rPr>
            <a:t>• при установке СДЗ </a:t>
          </a:r>
          <a:r>
            <a:rPr lang="en-US" sz="1100" b="0" i="0" u="none" strike="noStrike" baseline="0">
              <a:solidFill>
                <a:schemeClr val="dk1"/>
              </a:solidFill>
              <a:latin typeface="+mn-lt"/>
              <a:ea typeface="+mn-ea"/>
              <a:cs typeface="Arial" panose="020B0604020202020204" pitchFamily="34" charset="0"/>
            </a:rPr>
            <a:t>Dallas Lock </a:t>
          </a:r>
          <a:r>
            <a:rPr lang="ru-RU" sz="1100" b="0" i="0" u="none" strike="noStrike" baseline="0">
              <a:solidFill>
                <a:schemeClr val="dk1"/>
              </a:solidFill>
              <a:latin typeface="+mn-lt"/>
              <a:ea typeface="+mn-ea"/>
              <a:cs typeface="Arial" panose="020B0604020202020204" pitchFamily="34" charset="0"/>
            </a:rPr>
            <a:t>в стоимость входит сборка-разборка корпуса компьютера и подключение необходимых кабелей при наличии технической возможности.</a:t>
          </a:r>
        </a:p>
        <a:p>
          <a:pPr algn="just"/>
          <a:endParaRPr lang="en-US" sz="1100" b="1" i="0" u="none" strike="noStrike" baseline="0">
            <a:solidFill>
              <a:schemeClr val="dk1"/>
            </a:solidFill>
            <a:latin typeface="+mn-lt"/>
            <a:ea typeface="+mn-ea"/>
            <a:cs typeface="Arial" panose="020B0604020202020204" pitchFamily="34" charset="0"/>
          </a:endParaRPr>
        </a:p>
        <a:p>
          <a:pPr algn="just"/>
          <a:r>
            <a:rPr lang="ru-RU" sz="1100" b="1" i="0" u="none" strike="noStrike" baseline="0">
              <a:solidFill>
                <a:schemeClr val="dk1"/>
              </a:solidFill>
              <a:latin typeface="+mn-lt"/>
              <a:ea typeface="+mn-ea"/>
              <a:cs typeface="Arial" panose="020B0604020202020204" pitchFamily="34" charset="0"/>
            </a:rPr>
            <a:t>Расширенная установка. Для оценки стоимости необходимо ответить на</a:t>
          </a:r>
        </a:p>
        <a:p>
          <a:pPr algn="just"/>
          <a:r>
            <a:rPr lang="ru-RU" sz="1100" b="1" i="0" u="none" strike="noStrike" baseline="0">
              <a:solidFill>
                <a:schemeClr val="dk1"/>
              </a:solidFill>
              <a:latin typeface="+mn-lt"/>
              <a:ea typeface="+mn-ea"/>
              <a:cs typeface="Arial" panose="020B0604020202020204" pitchFamily="34" charset="0"/>
            </a:rPr>
            <a:t>следующие вопросы:</a:t>
          </a:r>
        </a:p>
        <a:p>
          <a:pPr algn="just"/>
          <a:r>
            <a:rPr lang="ru-RU" sz="1100" b="0" i="0" u="none" strike="noStrike" baseline="0">
              <a:solidFill>
                <a:schemeClr val="dk1"/>
              </a:solidFill>
              <a:latin typeface="+mn-lt"/>
              <a:ea typeface="+mn-ea"/>
              <a:cs typeface="Arial" panose="020B0604020202020204" pitchFamily="34" charset="0"/>
            </a:rPr>
            <a:t>• Используется ли Сервер безопасности?</a:t>
          </a:r>
        </a:p>
        <a:p>
          <a:pPr algn="just"/>
          <a:r>
            <a:rPr lang="ru-RU" sz="1100" b="0" i="0" u="none" strike="noStrike" baseline="0">
              <a:solidFill>
                <a:schemeClr val="dk1"/>
              </a:solidFill>
              <a:latin typeface="+mn-lt"/>
              <a:ea typeface="+mn-ea"/>
              <a:cs typeface="Arial" panose="020B0604020202020204" pitchFamily="34" charset="0"/>
            </a:rPr>
            <a:t>• Используется ли Сервер лицензий?</a:t>
          </a:r>
        </a:p>
        <a:p>
          <a:pPr algn="just"/>
          <a:r>
            <a:rPr lang="ru-RU" sz="1100" b="0" i="0" u="none" strike="noStrike" baseline="0">
              <a:solidFill>
                <a:schemeClr val="dk1"/>
              </a:solidFill>
              <a:latin typeface="+mn-lt"/>
              <a:ea typeface="+mn-ea"/>
              <a:cs typeface="Arial" panose="020B0604020202020204" pitchFamily="34" charset="0"/>
            </a:rPr>
            <a:t>• Сколько рабочих станций?</a:t>
          </a:r>
        </a:p>
        <a:p>
          <a:pPr algn="just"/>
          <a:r>
            <a:rPr lang="ru-RU" sz="1100" b="0" i="0" u="none" strike="noStrike" baseline="0">
              <a:solidFill>
                <a:schemeClr val="dk1"/>
              </a:solidFill>
              <a:latin typeface="+mn-lt"/>
              <a:ea typeface="+mn-ea"/>
              <a:cs typeface="Arial" panose="020B0604020202020204" pitchFamily="34" charset="0"/>
            </a:rPr>
            <a:t>• Сколько пользователей на каждой рабочей станции?</a:t>
          </a:r>
        </a:p>
        <a:p>
          <a:pPr algn="just"/>
          <a:r>
            <a:rPr lang="ru-RU" sz="1100" b="0" i="0" u="none" strike="noStrike" baseline="0">
              <a:solidFill>
                <a:schemeClr val="dk1"/>
              </a:solidFill>
              <a:latin typeface="+mn-lt"/>
              <a:ea typeface="+mn-ea"/>
              <a:cs typeface="Arial" panose="020B0604020202020204" pitchFamily="34" charset="0"/>
            </a:rPr>
            <a:t>• Какие дополнительные механизмы должны использоваться (преобразование дисков,</a:t>
          </a:r>
          <a:r>
            <a:rPr lang="en-US" sz="1100" b="0" i="0" u="none" strike="noStrike" baseline="0">
              <a:solidFill>
                <a:schemeClr val="dk1"/>
              </a:solidFill>
              <a:latin typeface="+mn-lt"/>
              <a:ea typeface="+mn-ea"/>
              <a:cs typeface="Arial" panose="020B0604020202020204" pitchFamily="34" charset="0"/>
            </a:rPr>
            <a:t> </a:t>
          </a:r>
          <a:r>
            <a:rPr lang="ru-RU" sz="1100" b="0" i="0" u="none" strike="noStrike" baseline="0">
              <a:solidFill>
                <a:schemeClr val="dk1"/>
              </a:solidFill>
              <a:latin typeface="+mn-lt"/>
              <a:ea typeface="+mn-ea"/>
              <a:cs typeface="Arial" panose="020B0604020202020204" pitchFamily="34" charset="0"/>
            </a:rPr>
            <a:t>ЗПС, мандатный доступ, настройка прав доступа)?</a:t>
          </a:r>
        </a:p>
        <a:p>
          <a:pPr algn="just"/>
          <a:r>
            <a:rPr lang="ru-RU" sz="1100" b="0" i="0" u="none" strike="noStrike" baseline="0">
              <a:solidFill>
                <a:schemeClr val="dk1"/>
              </a:solidFill>
              <a:latin typeface="+mn-lt"/>
              <a:ea typeface="+mn-ea"/>
              <a:cs typeface="Arial" panose="020B0604020202020204" pitchFamily="34" charset="0"/>
            </a:rPr>
            <a:t>• Какое ПО используется на рабочих станциях?</a:t>
          </a:r>
        </a:p>
        <a:p>
          <a:pPr algn="just"/>
          <a:r>
            <a:rPr lang="ru-RU" sz="1100" b="0" i="0" u="none" strike="noStrike" baseline="0">
              <a:solidFill>
                <a:schemeClr val="dk1"/>
              </a:solidFill>
              <a:latin typeface="+mn-lt"/>
              <a:ea typeface="+mn-ea"/>
              <a:cs typeface="Arial" panose="020B0604020202020204" pitchFamily="34" charset="0"/>
            </a:rPr>
            <a:t>• Какова сетевая конфигурация?</a:t>
          </a:r>
        </a:p>
        <a:p>
          <a:pPr algn="just"/>
          <a:r>
            <a:rPr lang="ru-RU" sz="1100" b="0" i="0" u="none" strike="noStrike" baseline="0">
              <a:solidFill>
                <a:schemeClr val="dk1"/>
              </a:solidFill>
              <a:latin typeface="+mn-lt"/>
              <a:ea typeface="+mn-ea"/>
              <a:cs typeface="Arial" panose="020B0604020202020204" pitchFamily="34" charset="0"/>
            </a:rPr>
            <a:t>• Какие подготовительные работы и установку какого дополнительного ПО</a:t>
          </a:r>
          <a:r>
            <a:rPr lang="en-US" sz="1100" b="0" i="0" u="none" strike="noStrike" baseline="0">
              <a:solidFill>
                <a:schemeClr val="dk1"/>
              </a:solidFill>
              <a:latin typeface="+mn-lt"/>
              <a:ea typeface="+mn-ea"/>
              <a:cs typeface="Arial" panose="020B0604020202020204" pitchFamily="34" charset="0"/>
            </a:rPr>
            <a:t> </a:t>
          </a:r>
          <a:r>
            <a:rPr lang="ru-RU" sz="1100" b="0" i="0" u="none" strike="noStrike" baseline="0">
              <a:solidFill>
                <a:schemeClr val="dk1"/>
              </a:solidFill>
              <a:latin typeface="+mn-lt"/>
              <a:ea typeface="+mn-ea"/>
              <a:cs typeface="Arial" panose="020B0604020202020204" pitchFamily="34" charset="0"/>
            </a:rPr>
            <a:t>необходимо выполнить сотрудникам ЦЗИ ООО «Конфидент»?</a:t>
          </a:r>
          <a:endParaRPr lang="ru-RU" sz="1100">
            <a:effectLst/>
            <a:latin typeface="+mn-lt"/>
            <a:ea typeface="Calibri"/>
            <a:cs typeface="Arial" panose="020B0604020202020204" pitchFamily="34" charset="0"/>
          </a:endParaRPr>
        </a:p>
      </xdr:txBody>
    </xdr:sp>
    <xdr:clientData/>
  </xdr:twoCellAnchor>
  <xdr:twoCellAnchor>
    <xdr:from>
      <xdr:col>0</xdr:col>
      <xdr:colOff>76199</xdr:colOff>
      <xdr:row>49</xdr:row>
      <xdr:rowOff>107494</xdr:rowOff>
    </xdr:from>
    <xdr:to>
      <xdr:col>12</xdr:col>
      <xdr:colOff>2116</xdr:colOff>
      <xdr:row>51</xdr:row>
      <xdr:rowOff>167366</xdr:rowOff>
    </xdr:to>
    <xdr:grpSp>
      <xdr:nvGrpSpPr>
        <xdr:cNvPr id="6" name="Группа 5">
          <a:extLst>
            <a:ext uri="{FF2B5EF4-FFF2-40B4-BE49-F238E27FC236}">
              <a16:creationId xmlns:a16="http://schemas.microsoft.com/office/drawing/2014/main" xmlns="" id="{00000000-0008-0000-0C00-000006000000}"/>
            </a:ext>
          </a:extLst>
        </xdr:cNvPr>
        <xdr:cNvGrpSpPr/>
      </xdr:nvGrpSpPr>
      <xdr:grpSpPr>
        <a:xfrm>
          <a:off x="76199" y="15880894"/>
          <a:ext cx="12365567" cy="440872"/>
          <a:chOff x="-10049" y="15321363"/>
          <a:chExt cx="12372975" cy="1184375"/>
        </a:xfrm>
      </xdr:grpSpPr>
      <xdr:sp macro="" textlink="">
        <xdr:nvSpPr>
          <xdr:cNvPr id="7" name="TextBox 6">
            <a:extLst>
              <a:ext uri="{FF2B5EF4-FFF2-40B4-BE49-F238E27FC236}">
                <a16:creationId xmlns:a16="http://schemas.microsoft.com/office/drawing/2014/main" xmlns="" id="{00000000-0008-0000-0C00-000007000000}"/>
              </a:ext>
            </a:extLst>
          </xdr:cNvPr>
          <xdr:cNvSpPr txBox="1"/>
        </xdr:nvSpPr>
        <xdr:spPr>
          <a:xfrm>
            <a:off x="-10049" y="15477037"/>
            <a:ext cx="12372975" cy="10287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baseline="0">
                <a:solidFill>
                  <a:schemeClr val="dk1"/>
                </a:solidFill>
                <a:latin typeface="Arial" panose="020B0604020202020204" pitchFamily="34" charset="0"/>
                <a:ea typeface="+mn-ea"/>
                <a:cs typeface="Arial" panose="020B0604020202020204" pitchFamily="34" charset="0"/>
              </a:rPr>
              <a:t>* «x» – </a:t>
            </a:r>
            <a:r>
              <a:rPr lang="ru-RU" sz="1100" b="0" i="0" u="none" strike="noStrike" baseline="0">
                <a:solidFill>
                  <a:schemeClr val="dk1"/>
                </a:solidFill>
                <a:latin typeface="Arial" panose="020B0604020202020204" pitchFamily="34" charset="0"/>
                <a:ea typeface="+mn-ea"/>
                <a:cs typeface="Arial" panose="020B0604020202020204" pitchFamily="34" charset="0"/>
              </a:rPr>
              <a:t>диапазон приобретаемых лицензий по количеству рабочих станций, серверов.</a:t>
            </a:r>
          </a:p>
        </xdr:txBody>
      </xdr:sp>
      <xdr:cxnSp macro="">
        <xdr:nvCxnSpPr>
          <xdr:cNvPr id="8" name="Прямая соединительная линия 7">
            <a:extLst>
              <a:ext uri="{FF2B5EF4-FFF2-40B4-BE49-F238E27FC236}">
                <a16:creationId xmlns:a16="http://schemas.microsoft.com/office/drawing/2014/main" xmlns="" id="{00000000-0008-0000-0C00-000008000000}"/>
              </a:ext>
            </a:extLst>
          </xdr:cNvPr>
          <xdr:cNvCxnSpPr/>
        </xdr:nvCxnSpPr>
        <xdr:spPr>
          <a:xfrm>
            <a:off x="105561" y="15321363"/>
            <a:ext cx="4838700" cy="0"/>
          </a:xfrm>
          <a:prstGeom prst="line">
            <a:avLst/>
          </a:prstGeom>
        </xdr:spPr>
        <xdr:style>
          <a:lnRef idx="1">
            <a:schemeClr val="dk1"/>
          </a:lnRef>
          <a:fillRef idx="0">
            <a:schemeClr val="dk1"/>
          </a:fillRef>
          <a:effectRef idx="0">
            <a:schemeClr val="dk1"/>
          </a:effectRef>
          <a:fontRef idx="minor">
            <a:schemeClr val="tx1"/>
          </a:fontRef>
        </xdr:style>
      </xdr:cxnSp>
    </xdr:grpSp>
    <xdr:clientData/>
  </xdr:twoCellAnchor>
  <xdr:twoCellAnchor editAs="oneCell">
    <xdr:from>
      <xdr:col>0</xdr:col>
      <xdr:colOff>0</xdr:colOff>
      <xdr:row>0</xdr:row>
      <xdr:rowOff>0</xdr:rowOff>
    </xdr:from>
    <xdr:to>
      <xdr:col>13</xdr:col>
      <xdr:colOff>0</xdr:colOff>
      <xdr:row>2</xdr:row>
      <xdr:rowOff>35610</xdr:rowOff>
    </xdr:to>
    <xdr:pic>
      <xdr:nvPicPr>
        <xdr:cNvPr id="10" name="Рисунок 9">
          <a:hlinkClick xmlns:r="http://schemas.openxmlformats.org/officeDocument/2006/relationships" r:id="rId1"/>
          <a:extLst>
            <a:ext uri="{FF2B5EF4-FFF2-40B4-BE49-F238E27FC236}">
              <a16:creationId xmlns:a16="http://schemas.microsoft.com/office/drawing/2014/main" xmlns="" id="{00000000-0008-0000-0C00-00000A000000}"/>
            </a:ext>
          </a:extLst>
        </xdr:cNvPr>
        <xdr:cNvPicPr>
          <a:picLocks noChangeAspect="1"/>
        </xdr:cNvPicPr>
      </xdr:nvPicPr>
      <xdr:blipFill>
        <a:blip xmlns:r="http://schemas.openxmlformats.org/officeDocument/2006/relationships" r:embed="rId2"/>
        <a:stretch>
          <a:fillRect/>
        </a:stretch>
      </xdr:blipFill>
      <xdr:spPr>
        <a:xfrm>
          <a:off x="0" y="0"/>
          <a:ext cx="12877800" cy="1300530"/>
        </a:xfrm>
        <a:prstGeom prst="rect">
          <a:avLst/>
        </a:prstGeom>
      </xdr:spPr>
    </xdr:pic>
    <xdr:clientData/>
  </xdr:twoCellAnchor>
  <xdr:twoCellAnchor editAs="oneCell">
    <xdr:from>
      <xdr:col>0</xdr:col>
      <xdr:colOff>0</xdr:colOff>
      <xdr:row>24</xdr:row>
      <xdr:rowOff>21165</xdr:rowOff>
    </xdr:from>
    <xdr:to>
      <xdr:col>13</xdr:col>
      <xdr:colOff>7620</xdr:colOff>
      <xdr:row>26</xdr:row>
      <xdr:rowOff>169332</xdr:rowOff>
    </xdr:to>
    <xdr:pic>
      <xdr:nvPicPr>
        <xdr:cNvPr id="9" name="Рисунок 8">
          <a:extLst>
            <a:ext uri="{FF2B5EF4-FFF2-40B4-BE49-F238E27FC236}">
              <a16:creationId xmlns:a16="http://schemas.microsoft.com/office/drawing/2014/main" xmlns="" id="{00000000-0008-0000-0C00-000009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10399605"/>
          <a:ext cx="12885420" cy="513927"/>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126413</xdr:colOff>
      <xdr:row>36</xdr:row>
      <xdr:rowOff>95250</xdr:rowOff>
    </xdr:from>
    <xdr:to>
      <xdr:col>14</xdr:col>
      <xdr:colOff>237786</xdr:colOff>
      <xdr:row>50</xdr:row>
      <xdr:rowOff>13607</xdr:rowOff>
    </xdr:to>
    <xdr:sp macro="" textlink="">
      <xdr:nvSpPr>
        <xdr:cNvPr id="2" name="TextBox 1">
          <a:extLst>
            <a:ext uri="{FF2B5EF4-FFF2-40B4-BE49-F238E27FC236}">
              <a16:creationId xmlns:a16="http://schemas.microsoft.com/office/drawing/2014/main" xmlns="" id="{00000000-0008-0000-0D00-000002000000}"/>
            </a:ext>
          </a:extLst>
        </xdr:cNvPr>
        <xdr:cNvSpPr txBox="1"/>
      </xdr:nvSpPr>
      <xdr:spPr>
        <a:xfrm>
          <a:off x="126413" y="6953250"/>
          <a:ext cx="8645773" cy="258535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ru-RU" sz="1400" b="1" i="0" u="none" baseline="0">
              <a:solidFill>
                <a:schemeClr val="dk1"/>
              </a:solidFill>
              <a:effectLst/>
              <a:latin typeface="+mn-lt"/>
              <a:ea typeface="+mn-ea"/>
              <a:cs typeface="+mn-cs"/>
            </a:rPr>
            <a:t>Ключевые особенности:</a:t>
          </a:r>
          <a:endParaRPr lang="ru-RU" sz="1400" u="none">
            <a:effectLst/>
          </a:endParaRPr>
        </a:p>
        <a:p>
          <a:pPr marL="171450" indent="-171450" algn="l">
            <a:spcBef>
              <a:spcPts val="600"/>
            </a:spcBef>
            <a:buFont typeface="Wingdings" panose="05000000000000000000" pitchFamily="2" charset="2"/>
            <a:buChar char="v"/>
          </a:pPr>
          <a:r>
            <a:rPr lang="ru-RU" sz="1100" b="1">
              <a:solidFill>
                <a:schemeClr val="dk1"/>
              </a:solidFill>
              <a:effectLst/>
              <a:latin typeface="+mn-lt"/>
              <a:ea typeface="+mn-ea"/>
              <a:cs typeface="+mn-cs"/>
            </a:rPr>
            <a:t>Поддержка российских ОС, в том числе сертифицированных ФСТЭК России, а также систем </a:t>
          </a:r>
          <a:r>
            <a:rPr lang="en-US" sz="1100" b="1">
              <a:solidFill>
                <a:schemeClr val="dk1"/>
              </a:solidFill>
              <a:effectLst/>
              <a:latin typeface="+mn-lt"/>
              <a:ea typeface="+mn-ea"/>
              <a:cs typeface="+mn-cs"/>
            </a:rPr>
            <a:t>Windows </a:t>
          </a:r>
          <a:r>
            <a:rPr lang="ru-RU" sz="1100" b="1">
              <a:solidFill>
                <a:schemeClr val="dk1"/>
              </a:solidFill>
              <a:effectLst/>
              <a:latin typeface="+mn-lt"/>
              <a:ea typeface="+mn-ea"/>
              <a:cs typeface="+mn-cs"/>
            </a:rPr>
            <a:t>и </a:t>
          </a:r>
          <a:r>
            <a:rPr lang="en-US" sz="1100" b="1">
              <a:solidFill>
                <a:schemeClr val="dk1"/>
              </a:solidFill>
              <a:effectLst/>
              <a:latin typeface="+mn-lt"/>
              <a:ea typeface="+mn-ea"/>
              <a:cs typeface="+mn-cs"/>
            </a:rPr>
            <a:t>Linux</a:t>
          </a:r>
          <a:r>
            <a:rPr lang="ru-RU" sz="1100" b="1">
              <a:solidFill>
                <a:schemeClr val="dk1"/>
              </a:solidFill>
              <a:effectLst/>
              <a:latin typeface="+mn-lt"/>
              <a:ea typeface="+mn-ea"/>
              <a:cs typeface="+mn-cs"/>
            </a:rPr>
            <a:t>. </a:t>
          </a:r>
          <a:br>
            <a:rPr lang="ru-RU" sz="1100" b="1">
              <a:solidFill>
                <a:schemeClr val="dk1"/>
              </a:solidFill>
              <a:effectLst/>
              <a:latin typeface="+mn-lt"/>
              <a:ea typeface="+mn-ea"/>
              <a:cs typeface="+mn-cs"/>
            </a:rPr>
          </a:br>
          <a:r>
            <a:rPr lang="ru-RU"/>
            <a:t>Список поддерживаемых ОС постоянно пополняется</a:t>
          </a:r>
          <a:r>
            <a:rPr lang="ru-RU" sz="1100" b="1">
              <a:solidFill>
                <a:schemeClr val="dk1"/>
              </a:solidFill>
              <a:effectLst/>
              <a:latin typeface="+mn-lt"/>
              <a:ea typeface="+mn-ea"/>
              <a:cs typeface="+mn-cs"/>
            </a:rPr>
            <a:t>.</a:t>
          </a:r>
          <a:endParaRPr lang="en-US" sz="1100" b="1">
            <a:solidFill>
              <a:schemeClr val="dk1"/>
            </a:solidFill>
            <a:effectLst/>
            <a:latin typeface="+mn-lt"/>
            <a:ea typeface="+mn-ea"/>
            <a:cs typeface="+mn-cs"/>
          </a:endParaRPr>
        </a:p>
        <a:p>
          <a:pPr marL="171450" indent="-171450" algn="l">
            <a:spcBef>
              <a:spcPts val="600"/>
            </a:spcBef>
            <a:buFont typeface="Wingdings" panose="05000000000000000000" pitchFamily="2" charset="2"/>
            <a:buChar char="v"/>
          </a:pPr>
          <a:r>
            <a:rPr lang="ru-RU" sz="1100" b="1">
              <a:solidFill>
                <a:schemeClr val="dk1"/>
              </a:solidFill>
              <a:effectLst/>
              <a:latin typeface="+mn-lt"/>
              <a:ea typeface="+mn-ea"/>
              <a:cs typeface="+mn-cs"/>
            </a:rPr>
            <a:t>Централизованное управление средствами защиты </a:t>
          </a:r>
          <a:r>
            <a:rPr lang="en-US" sz="1100" b="1">
              <a:solidFill>
                <a:schemeClr val="dk1"/>
              </a:solidFill>
              <a:effectLst/>
              <a:latin typeface="+mn-lt"/>
              <a:ea typeface="+mn-ea"/>
              <a:cs typeface="+mn-cs"/>
            </a:rPr>
            <a:t>Dallas Lock </a:t>
          </a:r>
          <a:r>
            <a:rPr lang="ru-RU" sz="1100" b="1">
              <a:solidFill>
                <a:schemeClr val="dk1"/>
              </a:solidFill>
              <a:effectLst/>
              <a:latin typeface="+mn-lt"/>
              <a:ea typeface="+mn-ea"/>
              <a:cs typeface="+mn-cs"/>
            </a:rPr>
            <a:t>на рабочих станциях и серверах, в том числе за </a:t>
          </a:r>
          <a:r>
            <a:rPr lang="en-US" sz="1100" b="1">
              <a:solidFill>
                <a:schemeClr val="dk1"/>
              </a:solidFill>
              <a:effectLst/>
              <a:latin typeface="+mn-lt"/>
              <a:ea typeface="+mn-ea"/>
              <a:cs typeface="+mn-cs"/>
            </a:rPr>
            <a:t>NAT. </a:t>
          </a:r>
          <a:r>
            <a:rPr lang="ru-RU" sz="1100" b="0">
              <a:solidFill>
                <a:schemeClr val="dk1"/>
              </a:solidFill>
              <a:effectLst/>
              <a:latin typeface="+mn-lt"/>
              <a:ea typeface="+mn-ea"/>
              <a:cs typeface="+mn-cs"/>
            </a:rPr>
            <a:t>Для корректной работы достаточно, чтобы клиентские устройства и серверы имели доступ к ЕЦУ </a:t>
          </a:r>
          <a:r>
            <a:rPr lang="en-US" sz="1100" b="0">
              <a:solidFill>
                <a:schemeClr val="dk1"/>
              </a:solidFill>
              <a:effectLst/>
              <a:latin typeface="+mn-lt"/>
              <a:ea typeface="+mn-ea"/>
              <a:cs typeface="+mn-cs"/>
            </a:rPr>
            <a:t>Dallas Lock</a:t>
          </a:r>
          <a:r>
            <a:rPr lang="ru-RU" sz="1100" b="0">
              <a:solidFill>
                <a:schemeClr val="dk1"/>
              </a:solidFill>
              <a:effectLst/>
              <a:latin typeface="+mn-lt"/>
              <a:ea typeface="+mn-ea"/>
              <a:cs typeface="+mn-cs"/>
            </a:rPr>
            <a:t>.</a:t>
          </a:r>
        </a:p>
        <a:p>
          <a:pPr marL="171450" indent="-171450" algn="l">
            <a:spcBef>
              <a:spcPts val="600"/>
            </a:spcBef>
            <a:buFont typeface="Wingdings" panose="05000000000000000000" pitchFamily="2" charset="2"/>
            <a:buChar char="v"/>
          </a:pPr>
          <a:r>
            <a:rPr lang="ru-RU" b="1"/>
            <a:t>Возможность сбора журналов и отчётов с рабочих станций и серверов, не имеющих установленных средств защиты</a:t>
          </a:r>
          <a:r>
            <a:rPr lang="ru-RU"/>
            <a:t>, через кросс-платформенный модуль Агент ЕЦУ. Поддерживается удалённое подключение с доступом к рабочему столу пользователя.</a:t>
          </a:r>
          <a:endParaRPr lang="ru-RU" sz="1100">
            <a:solidFill>
              <a:schemeClr val="dk1"/>
            </a:solidFill>
            <a:effectLst/>
            <a:latin typeface="+mn-lt"/>
            <a:ea typeface="+mn-ea"/>
            <a:cs typeface="+mn-cs"/>
          </a:endParaRPr>
        </a:p>
        <a:p>
          <a:pPr marL="171450" indent="-171450" algn="l">
            <a:spcBef>
              <a:spcPts val="600"/>
            </a:spcBef>
            <a:buFont typeface="Wingdings" panose="05000000000000000000" pitchFamily="2" charset="2"/>
            <a:buChar char="v"/>
          </a:pPr>
          <a:r>
            <a:rPr lang="ru-RU" b="1"/>
            <a:t>Иерархическое отображение объектов домена </a:t>
          </a:r>
          <a:r>
            <a:rPr lang="ru-RU"/>
            <a:t>безопасности </a:t>
          </a:r>
          <a:r>
            <a:rPr lang="en-US"/>
            <a:t>Dallas Lock </a:t>
          </a:r>
          <a:r>
            <a:rPr lang="ru-RU"/>
            <a:t>с наследованием параметров безопасности.</a:t>
          </a:r>
          <a:endParaRPr lang="ru-RU" sz="1100" b="0" i="0" u="none" strike="noStrike" baseline="0">
            <a:solidFill>
              <a:schemeClr val="dk1"/>
            </a:solidFill>
            <a:effectLst/>
            <a:latin typeface="+mn-lt"/>
            <a:ea typeface="+mn-ea"/>
            <a:cs typeface="+mn-cs"/>
          </a:endParaRPr>
        </a:p>
        <a:p>
          <a:pPr marL="171450" indent="-171450" algn="l">
            <a:spcBef>
              <a:spcPts val="600"/>
            </a:spcBef>
            <a:buFont typeface="Wingdings" panose="05000000000000000000" pitchFamily="2" charset="2"/>
            <a:buChar char="v"/>
          </a:pPr>
          <a:r>
            <a:rPr lang="ru-RU" b="1"/>
            <a:t>Контроль состояния и целостности настроек активного сетевого оборудования </a:t>
          </a:r>
          <a:r>
            <a:rPr lang="ru-RU"/>
            <a:t>осуществляется через ЕЦУ </a:t>
          </a:r>
          <a:r>
            <a:rPr lang="en-US"/>
            <a:t>Dallas Lock, </a:t>
          </a:r>
          <a:r>
            <a:rPr lang="ru-RU"/>
            <a:t>который идентифицирует сетевые устройства как объекты домена безопасности. Система обеспечивает получение отчётов о конфигурациях оборудования и мониторинг их изменений по протоколам </a:t>
          </a:r>
          <a:r>
            <a:rPr lang="en-US"/>
            <a:t>SNMP </a:t>
          </a:r>
          <a:r>
            <a:rPr lang="ru-RU"/>
            <a:t>и </a:t>
          </a:r>
          <a:r>
            <a:rPr lang="en-US"/>
            <a:t>SSH</a:t>
          </a:r>
          <a:r>
            <a:rPr lang="ru-RU"/>
            <a:t>.</a:t>
          </a:r>
          <a:endParaRPr lang="ru-RU" sz="1100" b="0" i="0" u="none" strike="noStrike" baseline="0">
            <a:solidFill>
              <a:schemeClr val="dk1"/>
            </a:solidFill>
            <a:latin typeface="+mn-lt"/>
            <a:ea typeface="+mn-ea"/>
            <a:cs typeface="Arial" panose="020B0604020202020204" pitchFamily="34" charset="0"/>
          </a:endParaRPr>
        </a:p>
      </xdr:txBody>
    </xdr:sp>
    <xdr:clientData/>
  </xdr:twoCellAnchor>
  <xdr:twoCellAnchor>
    <xdr:from>
      <xdr:col>0</xdr:col>
      <xdr:colOff>66675</xdr:colOff>
      <xdr:row>9</xdr:row>
      <xdr:rowOff>55907</xdr:rowOff>
    </xdr:from>
    <xdr:to>
      <xdr:col>16</xdr:col>
      <xdr:colOff>622549</xdr:colOff>
      <xdr:row>10</xdr:row>
      <xdr:rowOff>1032934</xdr:rowOff>
    </xdr:to>
    <xdr:sp macro="" textlink="">
      <xdr:nvSpPr>
        <xdr:cNvPr id="3" name="TextBox 2">
          <a:extLst>
            <a:ext uri="{FF2B5EF4-FFF2-40B4-BE49-F238E27FC236}">
              <a16:creationId xmlns:a16="http://schemas.microsoft.com/office/drawing/2014/main" xmlns="" id="{00000000-0008-0000-0D00-000003000000}"/>
            </a:ext>
          </a:extLst>
        </xdr:cNvPr>
        <xdr:cNvSpPr txBox="1"/>
      </xdr:nvSpPr>
      <xdr:spPr>
        <a:xfrm>
          <a:off x="66675" y="12933707"/>
          <a:ext cx="11825007" cy="49563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ru-RU"/>
            <a:t>Сертифицированная система защиты конфиденциальной информации накладного типа. Предназначена для автономных персональных компьютеров и серверов под управлением ОС семейства </a:t>
          </a:r>
          <a:r>
            <a:rPr lang="en-US"/>
            <a:t>Linux, </a:t>
          </a:r>
          <a:r>
            <a:rPr lang="ru-RU"/>
            <a:t>в том числе в составе локально-вычислительной сети</a:t>
          </a:r>
          <a:r>
            <a:rPr lang="ru-RU" sz="1100" b="0" i="0" baseline="0">
              <a:solidFill>
                <a:schemeClr val="dk1"/>
              </a:solidFill>
              <a:effectLst/>
              <a:latin typeface="+mn-lt"/>
              <a:ea typeface="+mn-ea"/>
              <a:cs typeface="+mn-cs"/>
            </a:rPr>
            <a:t>. </a:t>
          </a:r>
          <a:r>
            <a:rPr lang="ru-RU" sz="1100" b="1" i="0">
              <a:solidFill>
                <a:schemeClr val="dk1"/>
              </a:solidFill>
              <a:effectLst/>
              <a:latin typeface="+mn-lt"/>
              <a:ea typeface="+mn-ea"/>
              <a:cs typeface="+mn-cs"/>
            </a:rPr>
            <a:t>Сертификат ФСТЭК России № 3594</a:t>
          </a:r>
          <a:r>
            <a:rPr lang="ru-RU" sz="1100" b="0" i="0">
              <a:solidFill>
                <a:schemeClr val="dk1"/>
              </a:solidFill>
              <a:effectLst/>
              <a:latin typeface="+mn-lt"/>
              <a:ea typeface="+mn-ea"/>
              <a:cs typeface="+mn-cs"/>
            </a:rPr>
            <a:t> от 04 июля 2016 г.</a:t>
          </a:r>
          <a:endParaRPr lang="ru-RU">
            <a:effectLst/>
          </a:endParaRPr>
        </a:p>
        <a:p>
          <a:endParaRPr lang="ru-RU"/>
        </a:p>
        <a:p>
          <a:pPr>
            <a:spcBef>
              <a:spcPts val="0"/>
            </a:spcBef>
            <a:spcAft>
              <a:spcPts val="600"/>
            </a:spcAft>
          </a:pPr>
          <a:r>
            <a:rPr lang="ru-RU" sz="1400" b="1" i="0" baseline="0">
              <a:solidFill>
                <a:schemeClr val="dk1"/>
              </a:solidFill>
              <a:effectLst/>
              <a:latin typeface="+mn-lt"/>
              <a:ea typeface="+mn-ea"/>
              <a:cs typeface="+mn-cs"/>
            </a:rPr>
            <a:t>Поддержка широкого набора </a:t>
          </a:r>
          <a:r>
            <a:rPr lang="en-US" sz="1400" b="1" i="0" baseline="0">
              <a:solidFill>
                <a:schemeClr val="dk1"/>
              </a:solidFill>
              <a:effectLst/>
              <a:latin typeface="+mn-lt"/>
              <a:ea typeface="+mn-ea"/>
              <a:cs typeface="+mn-cs"/>
            </a:rPr>
            <a:t>Linux-</a:t>
          </a:r>
          <a:r>
            <a:rPr lang="ru-RU" sz="1400" b="1" i="0" baseline="0">
              <a:solidFill>
                <a:schemeClr val="dk1"/>
              </a:solidFill>
              <a:effectLst/>
              <a:latin typeface="+mn-lt"/>
              <a:ea typeface="+mn-ea"/>
              <a:cs typeface="+mn-cs"/>
            </a:rPr>
            <a:t>дистрибутивов, в том числе сертифицированные ОС: </a:t>
          </a:r>
          <a:r>
            <a:rPr lang="en-US" sz="1400" b="1" i="0" baseline="0">
              <a:solidFill>
                <a:schemeClr val="dk1"/>
              </a:solidFill>
              <a:effectLst/>
              <a:latin typeface="+mn-lt"/>
              <a:ea typeface="+mn-ea"/>
              <a:cs typeface="+mn-cs"/>
            </a:rPr>
            <a:t>Astra Linux, </a:t>
          </a:r>
          <a:r>
            <a:rPr lang="ru-RU" sz="1400" b="1" i="0" baseline="0">
              <a:solidFill>
                <a:schemeClr val="dk1"/>
              </a:solidFill>
              <a:effectLst/>
              <a:latin typeface="+mn-lt"/>
              <a:ea typeface="+mn-ea"/>
              <a:cs typeface="+mn-cs"/>
            </a:rPr>
            <a:t>Альт, РЕД ОС</a:t>
          </a:r>
          <a:r>
            <a:rPr lang="en-US" sz="1400" b="1" i="0" baseline="0">
              <a:solidFill>
                <a:schemeClr val="dk1"/>
              </a:solidFill>
              <a:effectLst/>
              <a:latin typeface="+mn-lt"/>
              <a:ea typeface="+mn-ea"/>
              <a:cs typeface="+mn-cs"/>
            </a:rPr>
            <a:t>, </a:t>
          </a:r>
          <a:r>
            <a:rPr lang="ru-RU" sz="1400" b="1" i="0" baseline="0">
              <a:solidFill>
                <a:schemeClr val="dk1"/>
              </a:solidFill>
              <a:effectLst/>
              <a:latin typeface="+mn-lt"/>
              <a:ea typeface="+mn-ea"/>
              <a:cs typeface="+mn-cs"/>
            </a:rPr>
            <a:t>МСВСфера</a:t>
          </a:r>
          <a:r>
            <a:rPr lang="ru-RU" sz="1100">
              <a:solidFill>
                <a:schemeClr val="dk1"/>
              </a:solidFill>
              <a:effectLst/>
              <a:latin typeface="+mn-lt"/>
              <a:ea typeface="+mn-ea"/>
              <a:cs typeface="+mn-cs"/>
            </a:rPr>
            <a:t/>
          </a:r>
          <a:br>
            <a:rPr lang="ru-RU" sz="1100">
              <a:solidFill>
                <a:schemeClr val="dk1"/>
              </a:solidFill>
              <a:effectLst/>
              <a:latin typeface="+mn-lt"/>
              <a:ea typeface="+mn-ea"/>
              <a:cs typeface="+mn-cs"/>
            </a:rPr>
          </a:br>
          <a:endParaRPr lang="ru-RU" sz="1100">
            <a:solidFill>
              <a:schemeClr val="dk1"/>
            </a:solidFill>
            <a:effectLst/>
            <a:latin typeface="+mn-lt"/>
            <a:ea typeface="+mn-ea"/>
            <a:cs typeface="+mn-cs"/>
          </a:endParaRPr>
        </a:p>
        <a:p>
          <a:pPr marL="0" indent="0" eaLnBrk="1" fontAlgn="auto" latinLnBrk="0" hangingPunct="1">
            <a:spcAft>
              <a:spcPts val="600"/>
            </a:spcAft>
            <a:buFont typeface="Arial" panose="020B0604020202020204" pitchFamily="34" charset="0"/>
            <a:buNone/>
          </a:pPr>
          <a:r>
            <a:rPr lang="ru-RU" sz="1400" b="1" i="0" baseline="0">
              <a:solidFill>
                <a:schemeClr val="dk1"/>
              </a:solidFill>
              <a:effectLst/>
              <a:latin typeface="+mn-lt"/>
              <a:ea typeface="+mn-ea"/>
              <a:cs typeface="+mn-cs"/>
            </a:rPr>
            <a:t>Доступны сертифицированные модули: </a:t>
          </a:r>
        </a:p>
        <a:p>
          <a:pPr marL="171450" indent="-171450" eaLnBrk="1" fontAlgn="auto" latinLnBrk="0" hangingPunct="1">
            <a:buFont typeface="Arial" panose="020B0604020202020204" pitchFamily="34" charset="0"/>
            <a:buChar char="•"/>
          </a:pPr>
          <a:r>
            <a:rPr lang="ru-RU" sz="1100" b="0" i="0" baseline="0">
              <a:solidFill>
                <a:schemeClr val="dk1"/>
              </a:solidFill>
              <a:effectLst/>
              <a:latin typeface="+mn-lt"/>
              <a:ea typeface="+mn-ea"/>
              <a:cs typeface="+mn-cs"/>
            </a:rPr>
            <a:t>Средство контроля съёмных машинных носителей информации (</a:t>
          </a:r>
          <a:r>
            <a:rPr lang="ru-RU" sz="1100" b="0" i="0">
              <a:solidFill>
                <a:schemeClr val="dk1"/>
              </a:solidFill>
              <a:effectLst/>
              <a:latin typeface="+mn-lt"/>
              <a:ea typeface="+mn-ea"/>
              <a:cs typeface="+mn-cs"/>
            </a:rPr>
            <a:t>ИТ.СКН.П4.ПЗ</a:t>
          </a:r>
          <a:r>
            <a:rPr lang="ru-RU" sz="1100" b="0" i="0" baseline="0">
              <a:solidFill>
                <a:schemeClr val="dk1"/>
              </a:solidFill>
              <a:effectLst/>
              <a:latin typeface="+mn-lt"/>
              <a:ea typeface="+mn-ea"/>
              <a:cs typeface="+mn-cs"/>
            </a:rPr>
            <a:t>)</a:t>
          </a:r>
        </a:p>
        <a:p>
          <a:pPr marL="171450" indent="-171450" eaLnBrk="1" fontAlgn="auto" latinLnBrk="0" hangingPunct="1">
            <a:buFont typeface="Arial" panose="020B0604020202020204" pitchFamily="34" charset="0"/>
            <a:buChar char="•"/>
          </a:pPr>
          <a:r>
            <a:rPr lang="ru-RU" sz="1100" b="0" i="0" baseline="0">
              <a:solidFill>
                <a:schemeClr val="dk1"/>
              </a:solidFill>
              <a:effectLst/>
              <a:latin typeface="+mn-lt"/>
              <a:ea typeface="+mn-ea"/>
              <a:cs typeface="+mn-cs"/>
            </a:rPr>
            <a:t>Межсетевой экран </a:t>
          </a:r>
          <a:r>
            <a:rPr lang="ru-RU" sz="1100" b="0" i="0">
              <a:solidFill>
                <a:schemeClr val="dk1"/>
              </a:solidFill>
              <a:effectLst/>
              <a:latin typeface="+mn-lt"/>
              <a:ea typeface="+mn-ea"/>
              <a:cs typeface="+mn-cs"/>
            </a:rPr>
            <a:t>(ИТ.МЭ.В4.ПЗ)</a:t>
          </a:r>
          <a:endParaRPr lang="ru-RU" sz="1100" b="0" i="0" baseline="0">
            <a:solidFill>
              <a:schemeClr val="dk1"/>
            </a:solidFill>
            <a:effectLst/>
            <a:latin typeface="+mn-lt"/>
            <a:ea typeface="+mn-ea"/>
            <a:cs typeface="+mn-cs"/>
          </a:endParaRPr>
        </a:p>
        <a:p>
          <a:pPr marL="171450" indent="-171450" eaLnBrk="1" fontAlgn="auto" latinLnBrk="0" hangingPunct="1">
            <a:buFont typeface="Arial" panose="020B0604020202020204" pitchFamily="34" charset="0"/>
            <a:buChar char="•"/>
          </a:pPr>
          <a:r>
            <a:rPr lang="ru-RU" sz="1100" b="0" i="0" baseline="0">
              <a:solidFill>
                <a:schemeClr val="dk1"/>
              </a:solidFill>
              <a:effectLst/>
              <a:latin typeface="+mn-lt"/>
              <a:ea typeface="+mn-ea"/>
              <a:cs typeface="+mn-cs"/>
            </a:rPr>
            <a:t>Система обнаружения вторжений (</a:t>
          </a:r>
          <a:r>
            <a:rPr lang="ru-RU" sz="1100">
              <a:solidFill>
                <a:schemeClr val="dk1"/>
              </a:solidFill>
              <a:effectLst/>
              <a:latin typeface="+mn-lt"/>
              <a:ea typeface="+mn-ea"/>
              <a:cs typeface="+mn-cs"/>
            </a:rPr>
            <a:t>ИТ.СОВ.У4.ПЗ</a:t>
          </a:r>
          <a:r>
            <a:rPr lang="ru-RU" sz="1100" b="0" i="0" baseline="0">
              <a:solidFill>
                <a:schemeClr val="dk1"/>
              </a:solidFill>
              <a:effectLst/>
              <a:latin typeface="+mn-lt"/>
              <a:ea typeface="+mn-ea"/>
              <a:cs typeface="+mn-cs"/>
            </a:rPr>
            <a:t>)</a:t>
          </a:r>
        </a:p>
        <a:p>
          <a:pPr eaLnBrk="1" fontAlgn="auto" latinLnBrk="0" hangingPunct="1"/>
          <a:endParaRPr lang="ru-RU">
            <a:effectLst/>
          </a:endParaRPr>
        </a:p>
        <a:p>
          <a:pPr eaLnBrk="1" fontAlgn="auto" latinLnBrk="0" hangingPunct="1"/>
          <a:r>
            <a:rPr lang="ru-RU" sz="1400" b="1" i="0" baseline="0">
              <a:solidFill>
                <a:schemeClr val="dk1"/>
              </a:solidFill>
              <a:effectLst/>
              <a:latin typeface="+mn-lt"/>
              <a:ea typeface="+mn-ea"/>
              <a:cs typeface="+mn-cs"/>
            </a:rPr>
            <a:t>Ключевые особенности:</a:t>
          </a:r>
          <a:endParaRPr lang="ru-RU" sz="1400">
            <a:effectLst/>
          </a:endParaRPr>
        </a:p>
        <a:p>
          <a:pPr marL="171450" indent="-171450" algn="l" eaLnBrk="1" fontAlgn="auto" latinLnBrk="0" hangingPunct="1">
            <a:spcBef>
              <a:spcPts val="600"/>
            </a:spcBef>
            <a:buFont typeface="Wingdings" panose="05000000000000000000" pitchFamily="2" charset="2"/>
            <a:buChar char="v"/>
          </a:pPr>
          <a:r>
            <a:rPr lang="ru-RU" sz="1100" b="1" i="0" u="none" strike="noStrike" baseline="0">
              <a:solidFill>
                <a:schemeClr val="dk1"/>
              </a:solidFill>
              <a:latin typeface="+mn-lt"/>
              <a:ea typeface="+mn-ea"/>
              <a:cs typeface="Arial" panose="020B0604020202020204" pitchFamily="34" charset="0"/>
            </a:rPr>
            <a:t>Централизованное управление </a:t>
          </a:r>
          <a:r>
            <a:rPr lang="ru-RU" sz="1100" b="0" i="0" u="none" strike="noStrike" baseline="0">
              <a:solidFill>
                <a:schemeClr val="dk1"/>
              </a:solidFill>
              <a:latin typeface="+mn-lt"/>
              <a:ea typeface="+mn-ea"/>
              <a:cs typeface="Arial" panose="020B0604020202020204" pitchFamily="34" charset="0"/>
            </a:rPr>
            <a:t>через Единый центр управления </a:t>
          </a:r>
          <a:r>
            <a:rPr lang="en-US" sz="1100" b="0" i="0" u="none" strike="noStrike" baseline="0">
              <a:solidFill>
                <a:schemeClr val="dk1"/>
              </a:solidFill>
              <a:latin typeface="+mn-lt"/>
              <a:ea typeface="+mn-ea"/>
              <a:cs typeface="Arial" panose="020B0604020202020204" pitchFamily="34" charset="0"/>
            </a:rPr>
            <a:t>Dallas Lock — </a:t>
          </a:r>
          <a:r>
            <a:rPr lang="ru-RU" sz="1100" b="0" i="0" u="none" strike="noStrike" baseline="0">
              <a:solidFill>
                <a:schemeClr val="dk1"/>
              </a:solidFill>
              <a:latin typeface="+mn-lt"/>
              <a:ea typeface="+mn-ea"/>
              <a:cs typeface="Arial" panose="020B0604020202020204" pitchFamily="34" charset="0"/>
            </a:rPr>
            <a:t>обеспечивает эффективное администрирование как в однородных, так и в гетерогенных средах, где устройства работают на ОС </a:t>
          </a:r>
          <a:r>
            <a:rPr lang="en-US" sz="1100" b="0" i="0" u="none" strike="noStrike" baseline="0">
              <a:solidFill>
                <a:schemeClr val="dk1"/>
              </a:solidFill>
              <a:latin typeface="+mn-lt"/>
              <a:ea typeface="+mn-ea"/>
              <a:cs typeface="Arial" panose="020B0604020202020204" pitchFamily="34" charset="0"/>
            </a:rPr>
            <a:t>Windows </a:t>
          </a:r>
          <a:r>
            <a:rPr lang="ru-RU" sz="1100" b="0" i="0" u="none" strike="noStrike" baseline="0">
              <a:solidFill>
                <a:schemeClr val="dk1"/>
              </a:solidFill>
              <a:latin typeface="+mn-lt"/>
              <a:ea typeface="+mn-ea"/>
              <a:cs typeface="Arial" panose="020B0604020202020204" pitchFamily="34" charset="0"/>
            </a:rPr>
            <a:t>и </a:t>
          </a:r>
          <a:r>
            <a:rPr lang="en-US" sz="1100" b="0" i="0" u="none" strike="noStrike" baseline="0">
              <a:solidFill>
                <a:schemeClr val="dk1"/>
              </a:solidFill>
              <a:latin typeface="+mn-lt"/>
              <a:ea typeface="+mn-ea"/>
              <a:cs typeface="Arial" panose="020B0604020202020204" pitchFamily="34" charset="0"/>
            </a:rPr>
            <a:t>Linux</a:t>
          </a:r>
          <a:r>
            <a:rPr lang="ru-RU" sz="1100" b="0" i="0" u="none" strike="noStrike" baseline="0">
              <a:solidFill>
                <a:schemeClr val="dk1"/>
              </a:solidFill>
              <a:latin typeface="+mn-lt"/>
              <a:ea typeface="+mn-ea"/>
              <a:cs typeface="Arial" panose="020B0604020202020204" pitchFamily="34" charset="0"/>
            </a:rPr>
            <a:t>.</a:t>
          </a:r>
          <a:endParaRPr lang="en-US" sz="1100" b="1" i="0" u="none" strike="noStrike" baseline="0">
            <a:solidFill>
              <a:schemeClr val="dk1"/>
            </a:solidFill>
            <a:latin typeface="+mn-lt"/>
            <a:ea typeface="+mn-ea"/>
            <a:cs typeface="Arial" panose="020B0604020202020204" pitchFamily="34" charset="0"/>
          </a:endParaRPr>
        </a:p>
        <a:p>
          <a:pPr marL="171450" indent="-171450" algn="l" eaLnBrk="1" fontAlgn="auto" latinLnBrk="0" hangingPunct="1">
            <a:spcBef>
              <a:spcPts val="600"/>
            </a:spcBef>
            <a:buFont typeface="Wingdings" panose="05000000000000000000" pitchFamily="2" charset="2"/>
            <a:buChar char="v"/>
          </a:pPr>
          <a:r>
            <a:rPr lang="ru-RU" sz="1100" b="1" i="0" u="none" strike="noStrike" baseline="0">
              <a:solidFill>
                <a:schemeClr val="dk1"/>
              </a:solidFill>
              <a:latin typeface="+mn-lt"/>
              <a:ea typeface="+mn-ea"/>
              <a:cs typeface="Arial" panose="020B0604020202020204" pitchFamily="34" charset="0"/>
            </a:rPr>
            <a:t>Отсутствие в составе продукта модулей ядра </a:t>
          </a:r>
          <a:r>
            <a:rPr lang="ru-RU" sz="1100" b="0" i="0" u="none" strike="noStrike" baseline="0">
              <a:solidFill>
                <a:schemeClr val="dk1"/>
              </a:solidFill>
              <a:latin typeface="+mn-lt"/>
              <a:ea typeface="+mn-ea"/>
              <a:cs typeface="Arial" panose="020B0604020202020204" pitchFamily="34" charset="0"/>
            </a:rPr>
            <a:t>и, как следствие, зависимости от версии ядра ОС, что дает возможность обновлять версию ядра ОС при использовании СЗИ.</a:t>
          </a:r>
        </a:p>
        <a:p>
          <a:pPr marL="171450" indent="-171450" algn="l" eaLnBrk="1" fontAlgn="auto" latinLnBrk="0" hangingPunct="1">
            <a:spcBef>
              <a:spcPts val="600"/>
            </a:spcBef>
            <a:buFont typeface="Wingdings" panose="05000000000000000000" pitchFamily="2" charset="2"/>
            <a:buChar char="v"/>
          </a:pPr>
          <a:r>
            <a:rPr lang="ru-RU" sz="1100" b="1" i="0" u="none" strike="noStrike" baseline="0">
              <a:solidFill>
                <a:schemeClr val="dk1"/>
              </a:solidFill>
              <a:latin typeface="+mn-lt"/>
              <a:ea typeface="+mn-ea"/>
              <a:cs typeface="Arial" panose="020B0604020202020204" pitchFamily="34" charset="0"/>
            </a:rPr>
            <a:t>Современный графический интерфейс (</a:t>
          </a:r>
          <a:r>
            <a:rPr lang="en-US" sz="1100" b="1" i="0" u="none" strike="noStrike" baseline="0">
              <a:solidFill>
                <a:schemeClr val="dk1"/>
              </a:solidFill>
              <a:latin typeface="+mn-lt"/>
              <a:ea typeface="+mn-ea"/>
              <a:cs typeface="Arial" panose="020B0604020202020204" pitchFamily="34" charset="0"/>
            </a:rPr>
            <a:t>GUI), </a:t>
          </a:r>
          <a:r>
            <a:rPr lang="ru-RU" sz="1100" b="0" i="0" u="none" strike="noStrike" baseline="0">
              <a:solidFill>
                <a:schemeClr val="dk1"/>
              </a:solidFill>
              <a:latin typeface="+mn-lt"/>
              <a:ea typeface="+mn-ea"/>
              <a:cs typeface="Arial" panose="020B0604020202020204" pitchFamily="34" charset="0"/>
            </a:rPr>
            <a:t>выполненный в едином стиле с интерфейсом СЗИ </a:t>
          </a:r>
          <a:r>
            <a:rPr lang="en-US" sz="1100" b="0" i="0" u="none" strike="noStrike" baseline="0">
              <a:solidFill>
                <a:schemeClr val="dk1"/>
              </a:solidFill>
              <a:latin typeface="+mn-lt"/>
              <a:ea typeface="+mn-ea"/>
              <a:cs typeface="Arial" panose="020B0604020202020204" pitchFamily="34" charset="0"/>
            </a:rPr>
            <a:t>Dallas Lock 8.0, </a:t>
          </a:r>
          <a:r>
            <a:rPr lang="ru-RU" sz="1100" b="0" i="0" u="none" strike="noStrike" baseline="0">
              <a:solidFill>
                <a:schemeClr val="dk1"/>
              </a:solidFill>
              <a:latin typeface="+mn-lt"/>
              <a:ea typeface="+mn-ea"/>
              <a:cs typeface="Arial" panose="020B0604020202020204" pitchFamily="34" charset="0"/>
            </a:rPr>
            <a:t>обеспечивает удобство и интуитивную работу.</a:t>
          </a:r>
        </a:p>
        <a:p>
          <a:pPr marL="171450" indent="-171450" algn="l" eaLnBrk="1" fontAlgn="auto" latinLnBrk="0" hangingPunct="1">
            <a:spcBef>
              <a:spcPts val="600"/>
            </a:spcBef>
            <a:buFont typeface="Wingdings" panose="05000000000000000000" pitchFamily="2" charset="2"/>
            <a:buChar char="v"/>
          </a:pPr>
          <a:r>
            <a:rPr lang="ru-RU" sz="1100" b="1" i="0" u="none" strike="noStrike" baseline="0">
              <a:solidFill>
                <a:schemeClr val="dk1"/>
              </a:solidFill>
              <a:latin typeface="+mn-lt"/>
              <a:ea typeface="+mn-ea"/>
              <a:cs typeface="Arial" panose="020B0604020202020204" pitchFamily="34" charset="0"/>
            </a:rPr>
            <a:t>Поддержка доменных учетных записей </a:t>
          </a:r>
          <a:r>
            <a:rPr lang="ru-RU" sz="1100" b="0" i="0" u="none" strike="noStrike" baseline="0">
              <a:solidFill>
                <a:schemeClr val="dk1"/>
              </a:solidFill>
              <a:latin typeface="+mn-lt"/>
              <a:ea typeface="+mn-ea"/>
              <a:cs typeface="Arial" panose="020B0604020202020204" pitchFamily="34" charset="0"/>
            </a:rPr>
            <a:t>(</a:t>
          </a:r>
          <a:r>
            <a:rPr lang="en-US" sz="1100" b="0" i="0" u="none" strike="noStrike" baseline="0">
              <a:solidFill>
                <a:schemeClr val="dk1"/>
              </a:solidFill>
              <a:latin typeface="+mn-lt"/>
              <a:ea typeface="+mn-ea"/>
              <a:cs typeface="Arial" panose="020B0604020202020204" pitchFamily="34" charset="0"/>
            </a:rPr>
            <a:t>Microsoft Active Directory,</a:t>
          </a:r>
          <a:r>
            <a:rPr lang="ru-RU" sz="1100" b="0" i="0" u="none" strike="noStrike" baseline="0">
              <a:solidFill>
                <a:schemeClr val="dk1"/>
              </a:solidFill>
              <a:latin typeface="+mn-lt"/>
              <a:ea typeface="+mn-ea"/>
              <a:cs typeface="Arial" panose="020B0604020202020204" pitchFamily="34" charset="0"/>
            </a:rPr>
            <a:t> </a:t>
          </a:r>
          <a:r>
            <a:rPr lang="en-US" sz="1100" b="0" i="0" baseline="0">
              <a:solidFill>
                <a:schemeClr val="dk1"/>
              </a:solidFill>
              <a:effectLst/>
              <a:latin typeface="+mn-lt"/>
              <a:ea typeface="+mn-ea"/>
              <a:cs typeface="+mn-cs"/>
            </a:rPr>
            <a:t>ALD PRO, </a:t>
          </a:r>
          <a:r>
            <a:rPr lang="ru-RU" sz="1100" b="0" i="0" baseline="0">
              <a:solidFill>
                <a:schemeClr val="dk1"/>
              </a:solidFill>
              <a:effectLst/>
              <a:latin typeface="+mn-lt"/>
              <a:ea typeface="+mn-ea"/>
              <a:cs typeface="+mn-cs"/>
            </a:rPr>
            <a:t>РЕД АДМ, Альт Домен</a:t>
          </a:r>
          <a:r>
            <a:rPr lang="en-US" sz="1100" b="0" i="0" baseline="0">
              <a:solidFill>
                <a:schemeClr val="dk1"/>
              </a:solidFill>
              <a:effectLst/>
              <a:latin typeface="+mn-lt"/>
              <a:ea typeface="+mn-ea"/>
              <a:cs typeface="+mn-cs"/>
            </a:rPr>
            <a:t>,</a:t>
          </a:r>
          <a:r>
            <a:rPr lang="en-US" sz="1100" b="0" i="0" u="none" strike="noStrike" baseline="0">
              <a:solidFill>
                <a:schemeClr val="dk1"/>
              </a:solidFill>
              <a:latin typeface="+mn-lt"/>
              <a:ea typeface="+mn-ea"/>
              <a:cs typeface="Arial" panose="020B0604020202020204" pitchFamily="34" charset="0"/>
            </a:rPr>
            <a:t> FreeIPA, Samba) </a:t>
          </a:r>
          <a:r>
            <a:rPr lang="ru-RU" sz="1100" b="0" i="0" u="none" strike="noStrike" baseline="0">
              <a:solidFill>
                <a:schemeClr val="dk1"/>
              </a:solidFill>
              <a:latin typeface="+mn-lt"/>
              <a:ea typeface="+mn-ea"/>
              <a:cs typeface="Arial" panose="020B0604020202020204" pitchFamily="34" charset="0"/>
            </a:rPr>
            <a:t>для упрощения управления пользователями.</a:t>
          </a:r>
        </a:p>
        <a:p>
          <a:pPr marL="171450" indent="-171450" algn="l" eaLnBrk="1" fontAlgn="auto" latinLnBrk="0" hangingPunct="1">
            <a:spcBef>
              <a:spcPts val="600"/>
            </a:spcBef>
            <a:buFont typeface="Wingdings" panose="05000000000000000000" pitchFamily="2" charset="2"/>
            <a:buChar char="v"/>
          </a:pPr>
          <a:r>
            <a:rPr lang="ru-RU" sz="1100" b="1" i="0" u="none" strike="noStrike" baseline="0">
              <a:solidFill>
                <a:schemeClr val="dk1"/>
              </a:solidFill>
              <a:latin typeface="+mn-lt"/>
              <a:ea typeface="+mn-ea"/>
              <a:cs typeface="Arial" panose="020B0604020202020204" pitchFamily="34" charset="0"/>
            </a:rPr>
            <a:t>Контроль беспроводных устройств </a:t>
          </a:r>
          <a:r>
            <a:rPr lang="ru-RU" sz="1100" b="0" i="0" u="none" strike="noStrike" baseline="0">
              <a:solidFill>
                <a:schemeClr val="dk1"/>
              </a:solidFill>
              <a:latin typeface="+mn-lt"/>
              <a:ea typeface="+mn-ea"/>
              <a:cs typeface="Arial" panose="020B0604020202020204" pitchFamily="34" charset="0"/>
            </a:rPr>
            <a:t>— обеспечивает мониторинг и контроль за подключаемыми устройствами для повышения безопасности.</a:t>
          </a:r>
        </a:p>
        <a:p>
          <a:pPr marL="171450" indent="-171450" algn="l" eaLnBrk="1" fontAlgn="auto" latinLnBrk="0" hangingPunct="1">
            <a:spcBef>
              <a:spcPts val="600"/>
            </a:spcBef>
            <a:buFont typeface="Wingdings" panose="05000000000000000000" pitchFamily="2" charset="2"/>
            <a:buChar char="v"/>
          </a:pPr>
          <a:r>
            <a:rPr lang="ru-RU" sz="1100" b="1" i="0" u="none" strike="noStrike" baseline="0">
              <a:solidFill>
                <a:schemeClr val="dk1"/>
              </a:solidFill>
              <a:latin typeface="+mn-lt"/>
              <a:ea typeface="+mn-ea"/>
              <a:cs typeface="Arial" panose="020B0604020202020204" pitchFamily="34" charset="0"/>
            </a:rPr>
            <a:t>Сертифицированные модули СКН, МЭ, СОВ </a:t>
          </a:r>
          <a:r>
            <a:rPr lang="ru-RU" sz="1100" b="0" i="0" u="none" strike="noStrike" baseline="0">
              <a:solidFill>
                <a:schemeClr val="dk1"/>
              </a:solidFill>
              <a:latin typeface="+mn-lt"/>
              <a:ea typeface="+mn-ea"/>
              <a:cs typeface="Arial" panose="020B0604020202020204" pitchFamily="34" charset="0"/>
            </a:rPr>
            <a:t>— гарантируют соответствие требованиям безопасности.</a:t>
          </a:r>
        </a:p>
        <a:p>
          <a:pPr marL="171450" indent="-171450" algn="l" eaLnBrk="1" fontAlgn="auto" latinLnBrk="0" hangingPunct="1">
            <a:spcBef>
              <a:spcPts val="600"/>
            </a:spcBef>
            <a:buFont typeface="Wingdings" panose="05000000000000000000" pitchFamily="2" charset="2"/>
            <a:buChar char="v"/>
          </a:pPr>
          <a:r>
            <a:rPr lang="ru-RU" sz="1100" b="1" i="0" baseline="0">
              <a:solidFill>
                <a:schemeClr val="dk1"/>
              </a:solidFill>
              <a:effectLst/>
              <a:latin typeface="+mn-lt"/>
              <a:ea typeface="+mn-ea"/>
              <a:cs typeface="+mn-cs"/>
            </a:rPr>
            <a:t>Возможности </a:t>
          </a:r>
          <a:r>
            <a:rPr lang="en-US" sz="1100" b="1" i="0" baseline="0">
              <a:solidFill>
                <a:schemeClr val="dk1"/>
              </a:solidFill>
              <a:effectLst/>
              <a:latin typeface="+mn-lt"/>
              <a:ea typeface="+mn-ea"/>
              <a:cs typeface="+mn-cs"/>
            </a:rPr>
            <a:t>EDR </a:t>
          </a:r>
          <a:r>
            <a:rPr lang="ru-RU" sz="1100" b="1" i="0" baseline="0">
              <a:solidFill>
                <a:schemeClr val="dk1"/>
              </a:solidFill>
              <a:effectLst/>
              <a:latin typeface="+mn-lt"/>
              <a:ea typeface="+mn-ea"/>
              <a:cs typeface="+mn-cs"/>
            </a:rPr>
            <a:t>в новом модуле «Средство обнаружения и реагирования». </a:t>
          </a:r>
          <a:r>
            <a:rPr lang="ru-RU"/>
            <a:t>Позволяет сканировать систему на индикаторы компрометации (</a:t>
          </a:r>
          <a:r>
            <a:rPr lang="en-US"/>
            <a:t>IoC), </a:t>
          </a:r>
          <a:r>
            <a:rPr lang="ru-RU"/>
            <a:t>управлять их базой, настраивать автоматическое реагирование на угрозы и выполнять обновление </a:t>
          </a:r>
          <a:r>
            <a:rPr lang="en-US"/>
            <a:t>IoC.</a:t>
          </a:r>
          <a:r>
            <a:rPr lang="ru-RU" sz="1100" b="0" i="0" baseline="0">
              <a:solidFill>
                <a:schemeClr val="dk1"/>
              </a:solidFill>
              <a:effectLst/>
              <a:latin typeface="+mn-lt"/>
              <a:ea typeface="+mn-ea"/>
              <a:cs typeface="+mn-cs"/>
            </a:rPr>
            <a:t>*</a:t>
          </a:r>
        </a:p>
        <a:p>
          <a:pPr marL="171450" indent="-171450" algn="l" eaLnBrk="1" fontAlgn="auto" latinLnBrk="0" hangingPunct="1">
            <a:spcBef>
              <a:spcPts val="600"/>
            </a:spcBef>
            <a:buFont typeface="Wingdings" panose="05000000000000000000" pitchFamily="2" charset="2"/>
            <a:buChar char="v"/>
          </a:pPr>
          <a:r>
            <a:rPr lang="ru-RU" sz="1100" b="1" i="0" baseline="0">
              <a:solidFill>
                <a:schemeClr val="dk1"/>
              </a:solidFill>
              <a:effectLst/>
              <a:latin typeface="+mn-lt"/>
              <a:ea typeface="+mn-ea"/>
              <a:cs typeface="+mn-cs"/>
            </a:rPr>
            <a:t>Безопасная среда СОВ («песочница») </a:t>
          </a:r>
          <a:r>
            <a:rPr lang="ru-RU" sz="1100" b="0" i="0" baseline="0">
              <a:solidFill>
                <a:schemeClr val="dk1"/>
              </a:solidFill>
              <a:effectLst/>
              <a:latin typeface="+mn-lt"/>
              <a:ea typeface="+mn-ea"/>
              <a:cs typeface="+mn-cs"/>
            </a:rPr>
            <a:t>— </a:t>
          </a:r>
          <a:r>
            <a:rPr lang="ru-RU" sz="1100">
              <a:solidFill>
                <a:schemeClr val="dk1"/>
              </a:solidFill>
              <a:effectLst/>
              <a:latin typeface="+mn-lt"/>
              <a:ea typeface="+mn-ea"/>
              <a:cs typeface="+mn-cs"/>
            </a:rPr>
            <a:t>возможность запускать стороннее ПО в изолированной, безопасной среде – «песочнице</a:t>
          </a:r>
          <a:r>
            <a:rPr lang="ru-RU" sz="1100" b="0" i="0" baseline="0">
              <a:solidFill>
                <a:schemeClr val="dk1"/>
              </a:solidFill>
              <a:effectLst/>
              <a:latin typeface="+mn-lt"/>
              <a:ea typeface="+mn-ea"/>
              <a:cs typeface="+mn-cs"/>
            </a:rPr>
            <a:t>».*</a:t>
          </a:r>
          <a:r>
            <a:rPr lang="ru-RU" sz="1100" b="1" i="0" baseline="0">
              <a:solidFill>
                <a:schemeClr val="dk1"/>
              </a:solidFill>
              <a:effectLst/>
              <a:latin typeface="+mn-lt"/>
              <a:ea typeface="+mn-ea"/>
              <a:cs typeface="+mn-cs"/>
            </a:rPr>
            <a:t/>
          </a:r>
          <a:br>
            <a:rPr lang="ru-RU" sz="1100" b="1" i="0" baseline="0">
              <a:solidFill>
                <a:schemeClr val="dk1"/>
              </a:solidFill>
              <a:effectLst/>
              <a:latin typeface="+mn-lt"/>
              <a:ea typeface="+mn-ea"/>
              <a:cs typeface="+mn-cs"/>
            </a:rPr>
          </a:br>
          <a:r>
            <a:rPr lang="ru-RU" sz="1100" b="0" i="0" baseline="0">
              <a:solidFill>
                <a:schemeClr val="dk1"/>
              </a:solidFill>
              <a:effectLst/>
              <a:latin typeface="+mn-lt"/>
              <a:ea typeface="+mn-ea"/>
              <a:cs typeface="+mn-cs"/>
            </a:rPr>
            <a:t>* - функциональная возможность реализована и будет доступна в 1 квартале 2026 г.</a:t>
          </a:r>
          <a:endParaRPr lang="ru-RU" sz="1100">
            <a:effectLst/>
          </a:endParaRPr>
        </a:p>
      </xdr:txBody>
    </xdr:sp>
    <xdr:clientData/>
  </xdr:twoCellAnchor>
  <xdr:twoCellAnchor>
    <xdr:from>
      <xdr:col>14</xdr:col>
      <xdr:colOff>438150</xdr:colOff>
      <xdr:row>0</xdr:row>
      <xdr:rowOff>0</xdr:rowOff>
    </xdr:from>
    <xdr:to>
      <xdr:col>17</xdr:col>
      <xdr:colOff>0</xdr:colOff>
      <xdr:row>1</xdr:row>
      <xdr:rowOff>1</xdr:rowOff>
    </xdr:to>
    <xdr:sp macro="" textlink="">
      <xdr:nvSpPr>
        <xdr:cNvPr id="4" name="Прямоугольник 3">
          <a:hlinkClick xmlns:r="http://schemas.openxmlformats.org/officeDocument/2006/relationships" r:id="rId1"/>
          <a:extLst>
            <a:ext uri="{FF2B5EF4-FFF2-40B4-BE49-F238E27FC236}">
              <a16:creationId xmlns:a16="http://schemas.microsoft.com/office/drawing/2014/main" xmlns="" id="{00000000-0008-0000-0D00-000004000000}"/>
            </a:ext>
          </a:extLst>
        </xdr:cNvPr>
        <xdr:cNvSpPr/>
      </xdr:nvSpPr>
      <xdr:spPr>
        <a:xfrm>
          <a:off x="8972550" y="0"/>
          <a:ext cx="1390650" cy="19050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15</xdr:col>
      <xdr:colOff>231321</xdr:colOff>
      <xdr:row>51</xdr:row>
      <xdr:rowOff>0</xdr:rowOff>
    </xdr:from>
    <xdr:to>
      <xdr:col>17</xdr:col>
      <xdr:colOff>2923</xdr:colOff>
      <xdr:row>52</xdr:row>
      <xdr:rowOff>82</xdr:rowOff>
    </xdr:to>
    <xdr:sp macro="" textlink="">
      <xdr:nvSpPr>
        <xdr:cNvPr id="5" name="Прямоугольник 4">
          <a:hlinkClick xmlns:r="http://schemas.openxmlformats.org/officeDocument/2006/relationships" r:id="rId2"/>
          <a:extLst>
            <a:ext uri="{FF2B5EF4-FFF2-40B4-BE49-F238E27FC236}">
              <a16:creationId xmlns:a16="http://schemas.microsoft.com/office/drawing/2014/main" xmlns="" id="{00000000-0008-0000-0D00-000005000000}"/>
            </a:ext>
          </a:extLst>
        </xdr:cNvPr>
        <xdr:cNvSpPr/>
      </xdr:nvSpPr>
      <xdr:spPr>
        <a:xfrm>
          <a:off x="9375321" y="9715500"/>
          <a:ext cx="990802" cy="19058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oneCellAnchor>
    <xdr:from>
      <xdr:col>15</xdr:col>
      <xdr:colOff>266700</xdr:colOff>
      <xdr:row>0</xdr:row>
      <xdr:rowOff>188997</xdr:rowOff>
    </xdr:from>
    <xdr:ext cx="179409" cy="179409"/>
    <xdr:pic>
      <xdr:nvPicPr>
        <xdr:cNvPr id="6" name="Рисунок 5">
          <a:extLst>
            <a:ext uri="{FF2B5EF4-FFF2-40B4-BE49-F238E27FC236}">
              <a16:creationId xmlns:a16="http://schemas.microsoft.com/office/drawing/2014/main" xmlns="" id="{00000000-0008-0000-0D00-000006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9410700" y="188997"/>
          <a:ext cx="179409" cy="179409"/>
        </a:xfrm>
        <a:prstGeom prst="rect">
          <a:avLst/>
        </a:prstGeom>
      </xdr:spPr>
    </xdr:pic>
    <xdr:clientData/>
  </xdr:oneCellAnchor>
  <xdr:oneCellAnchor>
    <xdr:from>
      <xdr:col>15</xdr:col>
      <xdr:colOff>314562</xdr:colOff>
      <xdr:row>5</xdr:row>
      <xdr:rowOff>164453</xdr:rowOff>
    </xdr:from>
    <xdr:ext cx="210685" cy="204335"/>
    <xdr:pic>
      <xdr:nvPicPr>
        <xdr:cNvPr id="7" name="Рисунок 6">
          <a:extLst>
            <a:ext uri="{FF2B5EF4-FFF2-40B4-BE49-F238E27FC236}">
              <a16:creationId xmlns:a16="http://schemas.microsoft.com/office/drawing/2014/main" xmlns="" id="{00000000-0008-0000-0D00-000007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9458562" y="1116953"/>
          <a:ext cx="210685" cy="204335"/>
        </a:xfrm>
        <a:prstGeom prst="rect">
          <a:avLst/>
        </a:prstGeom>
      </xdr:spPr>
    </xdr:pic>
    <xdr:clientData/>
  </xdr:oneCellAnchor>
  <xdr:oneCellAnchor>
    <xdr:from>
      <xdr:col>15</xdr:col>
      <xdr:colOff>266700</xdr:colOff>
      <xdr:row>8</xdr:row>
      <xdr:rowOff>174243</xdr:rowOff>
    </xdr:from>
    <xdr:ext cx="179409" cy="185759"/>
    <xdr:pic>
      <xdr:nvPicPr>
        <xdr:cNvPr id="8" name="Рисунок 7">
          <a:extLst>
            <a:ext uri="{FF2B5EF4-FFF2-40B4-BE49-F238E27FC236}">
              <a16:creationId xmlns:a16="http://schemas.microsoft.com/office/drawing/2014/main" xmlns="" id="{00000000-0008-0000-0D00-000008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9410700" y="1698243"/>
          <a:ext cx="179409" cy="185759"/>
        </a:xfrm>
        <a:prstGeom prst="rect">
          <a:avLst/>
        </a:prstGeom>
      </xdr:spPr>
    </xdr:pic>
    <xdr:clientData/>
  </xdr:oneCellAnchor>
  <xdr:twoCellAnchor>
    <xdr:from>
      <xdr:col>1</xdr:col>
      <xdr:colOff>1031</xdr:colOff>
      <xdr:row>1</xdr:row>
      <xdr:rowOff>1500764</xdr:rowOff>
    </xdr:from>
    <xdr:to>
      <xdr:col>13</xdr:col>
      <xdr:colOff>440197</xdr:colOff>
      <xdr:row>4</xdr:row>
      <xdr:rowOff>275167</xdr:rowOff>
    </xdr:to>
    <xdr:sp macro="" textlink="">
      <xdr:nvSpPr>
        <xdr:cNvPr id="9" name="TextBox 8">
          <a:extLst>
            <a:ext uri="{FF2B5EF4-FFF2-40B4-BE49-F238E27FC236}">
              <a16:creationId xmlns:a16="http://schemas.microsoft.com/office/drawing/2014/main" xmlns="" id="{00000000-0008-0000-0D00-000009000000}"/>
            </a:ext>
          </a:extLst>
        </xdr:cNvPr>
        <xdr:cNvSpPr txBox="1"/>
      </xdr:nvSpPr>
      <xdr:spPr>
        <a:xfrm>
          <a:off x="180948" y="2019347"/>
          <a:ext cx="9434999" cy="36533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ru-RU" sz="1400" b="1" i="0" u="none" baseline="0">
              <a:solidFill>
                <a:schemeClr val="dk1"/>
              </a:solidFill>
              <a:effectLst/>
              <a:latin typeface="+mn-lt"/>
              <a:ea typeface="+mn-ea"/>
              <a:cs typeface="+mn-cs"/>
            </a:rPr>
            <a:t>Ключевые особенности:</a:t>
          </a:r>
          <a:endParaRPr lang="ru-RU" sz="1100" b="1" i="0" u="none" strike="noStrike" baseline="0">
            <a:solidFill>
              <a:schemeClr val="dk1"/>
            </a:solidFill>
            <a:latin typeface="+mn-lt"/>
            <a:ea typeface="+mn-ea"/>
            <a:cs typeface="Arial" panose="020B0604020202020204" pitchFamily="34" charset="0"/>
          </a:endParaRPr>
        </a:p>
        <a:p>
          <a:pPr marL="171450" indent="-171450" algn="l">
            <a:spcBef>
              <a:spcPts val="600"/>
            </a:spcBef>
            <a:buFont typeface="Wingdings" panose="05000000000000000000" pitchFamily="2" charset="2"/>
            <a:buChar char="v"/>
          </a:pPr>
          <a:r>
            <a:rPr lang="ru-RU" sz="1100" b="1" i="0" u="none" strike="noStrike" baseline="0">
              <a:solidFill>
                <a:schemeClr val="dk1"/>
              </a:solidFill>
              <a:latin typeface="+mn-lt"/>
              <a:ea typeface="+mn-ea"/>
              <a:cs typeface="Arial" panose="020B0604020202020204" pitchFamily="34" charset="0"/>
            </a:rPr>
            <a:t>Централизованное управление несколькими серверами</a:t>
          </a:r>
          <a:r>
            <a:rPr lang="ru-RU" sz="1100" b="0" i="0" u="none" strike="noStrike" baseline="0">
              <a:solidFill>
                <a:schemeClr val="dk1"/>
              </a:solidFill>
              <a:latin typeface="+mn-lt"/>
              <a:ea typeface="+mn-ea"/>
              <a:cs typeface="Arial" panose="020B0604020202020204" pitchFamily="34" charset="0"/>
            </a:rPr>
            <a:t> виртуализации из единой консоли.</a:t>
          </a:r>
        </a:p>
        <a:p>
          <a:pPr marL="171450" indent="-171450" algn="l">
            <a:spcBef>
              <a:spcPts val="600"/>
            </a:spcBef>
            <a:buFont typeface="Wingdings" panose="05000000000000000000" pitchFamily="2" charset="2"/>
            <a:buChar char="v"/>
          </a:pPr>
          <a:r>
            <a:rPr lang="ru-RU" sz="1100" b="1" i="0" u="none" strike="noStrike" baseline="0">
              <a:solidFill>
                <a:schemeClr val="dk1"/>
              </a:solidFill>
              <a:latin typeface="+mn-lt"/>
              <a:ea typeface="+mn-ea"/>
              <a:cs typeface="Arial" panose="020B0604020202020204" pitchFamily="34" charset="0"/>
            </a:rPr>
            <a:t>Современный </a:t>
          </a:r>
          <a:r>
            <a:rPr lang="en-US" sz="1100" b="1" i="0" u="none" strike="noStrike" baseline="0">
              <a:solidFill>
                <a:schemeClr val="dk1"/>
              </a:solidFill>
              <a:latin typeface="+mn-lt"/>
              <a:ea typeface="+mn-ea"/>
              <a:cs typeface="Arial" panose="020B0604020202020204" pitchFamily="34" charset="0"/>
            </a:rPr>
            <a:t>web-</a:t>
          </a:r>
          <a:r>
            <a:rPr lang="ru-RU" sz="1100" b="1" i="0" u="none" strike="noStrike" baseline="0">
              <a:solidFill>
                <a:schemeClr val="dk1"/>
              </a:solidFill>
              <a:latin typeface="+mn-lt"/>
              <a:ea typeface="+mn-ea"/>
              <a:cs typeface="Arial" panose="020B0604020202020204" pitchFamily="34" charset="0"/>
            </a:rPr>
            <a:t>интерфейс </a:t>
          </a:r>
          <a:r>
            <a:rPr lang="ru-RU" sz="1100" b="0" i="0" u="none" strike="noStrike" baseline="0">
              <a:solidFill>
                <a:schemeClr val="dk1"/>
              </a:solidFill>
              <a:latin typeface="+mn-lt"/>
              <a:ea typeface="+mn-ea"/>
              <a:cs typeface="Arial" panose="020B0604020202020204" pitchFamily="34" charset="0"/>
            </a:rPr>
            <a:t>для администрирования и мониторинга, обеспечивающий удобный доступ к функционалу системы из любой точки сети.</a:t>
          </a:r>
        </a:p>
        <a:p>
          <a:pPr marL="171450" indent="-171450" algn="l">
            <a:spcBef>
              <a:spcPts val="600"/>
            </a:spcBef>
            <a:buFont typeface="Wingdings" panose="05000000000000000000" pitchFamily="2" charset="2"/>
            <a:buChar char="v"/>
          </a:pPr>
          <a:r>
            <a:rPr lang="ru-RU" sz="1100" b="1" i="0" u="none" strike="noStrike" baseline="0">
              <a:solidFill>
                <a:schemeClr val="dk1"/>
              </a:solidFill>
              <a:latin typeface="+mn-lt"/>
              <a:ea typeface="+mn-ea"/>
              <a:cs typeface="Arial" panose="020B0604020202020204" pitchFamily="34" charset="0"/>
            </a:rPr>
            <a:t>Контроль целостности </a:t>
          </a:r>
          <a:r>
            <a:rPr lang="ru-RU" sz="1100" b="0" i="0" u="none" strike="noStrike" baseline="0">
              <a:solidFill>
                <a:schemeClr val="dk1"/>
              </a:solidFill>
              <a:latin typeface="+mn-lt"/>
              <a:ea typeface="+mn-ea"/>
              <a:cs typeface="Arial" panose="020B0604020202020204" pitchFamily="34" charset="0"/>
            </a:rPr>
            <a:t>виртуальных машин, включая </a:t>
          </a:r>
          <a:r>
            <a:rPr lang="en-US" sz="1100" b="0" i="0" u="none" strike="noStrike" baseline="0">
              <a:solidFill>
                <a:schemeClr val="dk1"/>
              </a:solidFill>
              <a:latin typeface="+mn-lt"/>
              <a:ea typeface="+mn-ea"/>
              <a:cs typeface="Arial" panose="020B0604020202020204" pitchFamily="34" charset="0"/>
            </a:rPr>
            <a:t>BIOS, </a:t>
          </a:r>
          <a:r>
            <a:rPr lang="ru-RU" sz="1100" b="0" i="0" u="none" strike="noStrike" baseline="0">
              <a:solidFill>
                <a:schemeClr val="dk1"/>
              </a:solidFill>
              <a:latin typeface="+mn-lt"/>
              <a:ea typeface="+mn-ea"/>
              <a:cs typeface="Arial" panose="020B0604020202020204" pitchFamily="34" charset="0"/>
            </a:rPr>
            <a:t>конфигурации и образы до загрузки ОС.</a:t>
          </a:r>
        </a:p>
        <a:p>
          <a:pPr marL="171450" indent="-171450" algn="l">
            <a:spcBef>
              <a:spcPts val="600"/>
            </a:spcBef>
            <a:buFont typeface="Wingdings" panose="05000000000000000000" pitchFamily="2" charset="2"/>
            <a:buChar char="v"/>
          </a:pPr>
          <a:r>
            <a:rPr lang="ru-RU" sz="1100" b="1" i="0" u="none" strike="noStrike" baseline="0">
              <a:solidFill>
                <a:schemeClr val="dk1"/>
              </a:solidFill>
              <a:latin typeface="+mn-lt"/>
              <a:ea typeface="+mn-ea"/>
              <a:cs typeface="Arial" panose="020B0604020202020204" pitchFamily="34" charset="0"/>
            </a:rPr>
            <a:t>Разграничение доступа </a:t>
          </a:r>
          <a:r>
            <a:rPr lang="ru-RU" sz="1100" b="0" i="0" u="none" strike="noStrike" baseline="0">
              <a:solidFill>
                <a:schemeClr val="dk1"/>
              </a:solidFill>
              <a:latin typeface="+mn-lt"/>
              <a:ea typeface="+mn-ea"/>
              <a:cs typeface="Arial" panose="020B0604020202020204" pitchFamily="34" charset="0"/>
            </a:rPr>
            <a:t>на основе ролевой и дискреционной моделей.</a:t>
          </a:r>
          <a:endParaRPr lang="ru-RU" sz="1100" b="1" i="0" u="none" strike="noStrike" baseline="0">
            <a:solidFill>
              <a:schemeClr val="dk1"/>
            </a:solidFill>
            <a:latin typeface="+mn-lt"/>
            <a:ea typeface="+mn-ea"/>
            <a:cs typeface="Arial" panose="020B0604020202020204" pitchFamily="34" charset="0"/>
          </a:endParaRPr>
        </a:p>
        <a:p>
          <a:pPr marL="171450" indent="-171450" algn="l">
            <a:spcBef>
              <a:spcPts val="600"/>
            </a:spcBef>
            <a:buFont typeface="Wingdings" panose="05000000000000000000" pitchFamily="2" charset="2"/>
            <a:buChar char="v"/>
          </a:pPr>
          <a:r>
            <a:rPr lang="ru-RU" sz="1100" b="1" i="0" u="none" strike="noStrike" baseline="0">
              <a:solidFill>
                <a:schemeClr val="dk1"/>
              </a:solidFill>
              <a:latin typeface="+mn-lt"/>
              <a:ea typeface="+mn-ea"/>
              <a:cs typeface="Arial" panose="020B0604020202020204" pitchFamily="34" charset="0"/>
            </a:rPr>
            <a:t>Защита от остаточной информации </a:t>
          </a:r>
          <a:r>
            <a:rPr lang="ru-RU" sz="1100" b="0" i="0" u="none" strike="noStrike" baseline="0">
              <a:solidFill>
                <a:schemeClr val="dk1"/>
              </a:solidFill>
              <a:latin typeface="+mn-lt"/>
              <a:ea typeface="+mn-ea"/>
              <a:cs typeface="Arial" panose="020B0604020202020204" pitchFamily="34" charset="0"/>
            </a:rPr>
            <a:t>в памяти и на внешних накопителях.</a:t>
          </a:r>
        </a:p>
        <a:p>
          <a:pPr marL="171450" indent="-171450" algn="l">
            <a:spcBef>
              <a:spcPts val="600"/>
            </a:spcBef>
            <a:buFont typeface="Wingdings" panose="05000000000000000000" pitchFamily="2" charset="2"/>
            <a:buChar char="v"/>
          </a:pPr>
          <a:r>
            <a:rPr lang="ru-RU" sz="1100" b="1" i="0" u="none" strike="noStrike" baseline="0">
              <a:solidFill>
                <a:schemeClr val="dk1"/>
              </a:solidFill>
              <a:latin typeface="+mn-lt"/>
              <a:ea typeface="+mn-ea"/>
              <a:cs typeface="Arial" panose="020B0604020202020204" pitchFamily="34" charset="0"/>
            </a:rPr>
            <a:t>Интеграция с другими решениями </a:t>
          </a:r>
          <a:r>
            <a:rPr lang="en-US" sz="1100" b="1" i="0" u="none" strike="noStrike" baseline="0">
              <a:solidFill>
                <a:schemeClr val="dk1"/>
              </a:solidFill>
              <a:latin typeface="+mn-lt"/>
              <a:ea typeface="+mn-ea"/>
              <a:cs typeface="Arial" panose="020B0604020202020204" pitchFamily="34" charset="0"/>
            </a:rPr>
            <a:t>Dallas Lock </a:t>
          </a:r>
          <a:r>
            <a:rPr lang="ru-RU" sz="1100" b="0" i="0" u="none" strike="noStrike" baseline="0">
              <a:solidFill>
                <a:schemeClr val="dk1"/>
              </a:solidFill>
              <a:latin typeface="+mn-lt"/>
              <a:ea typeface="+mn-ea"/>
              <a:cs typeface="Arial" panose="020B0604020202020204" pitchFamily="34" charset="0"/>
            </a:rPr>
            <a:t>для защиты как виртуальной, так и физической инфраструктуры.</a:t>
          </a:r>
        </a:p>
        <a:p>
          <a:pPr marL="171450" indent="-171450" algn="l">
            <a:spcBef>
              <a:spcPts val="600"/>
            </a:spcBef>
            <a:buFont typeface="Wingdings" panose="05000000000000000000" pitchFamily="2" charset="2"/>
            <a:buChar char="v"/>
          </a:pPr>
          <a:r>
            <a:rPr lang="ru-RU" sz="1100" b="1" i="0" u="none" strike="noStrike" baseline="0">
              <a:solidFill>
                <a:schemeClr val="dk1"/>
              </a:solidFill>
              <a:latin typeface="+mn-lt"/>
              <a:ea typeface="+mn-ea"/>
              <a:cs typeface="Arial" panose="020B0604020202020204" pitchFamily="34" charset="0"/>
            </a:rPr>
            <a:t>Фильтрация сетевого трафика по предустановленным правилам </a:t>
          </a:r>
          <a:r>
            <a:rPr lang="ru-RU" sz="1100" b="0" i="0" u="none" strike="noStrike" baseline="0">
              <a:solidFill>
                <a:schemeClr val="dk1"/>
              </a:solidFill>
              <a:latin typeface="+mn-lt"/>
              <a:ea typeface="+mn-ea"/>
              <a:cs typeface="Arial" panose="020B0604020202020204" pitchFamily="34" charset="0"/>
            </a:rPr>
            <a:t>— предотвращает атаки и утечки данных за счет фильтрации трафика между виртуальными машинами.</a:t>
          </a:r>
        </a:p>
        <a:p>
          <a:pPr marL="171450" indent="-171450" algn="l">
            <a:spcBef>
              <a:spcPts val="600"/>
            </a:spcBef>
            <a:buFont typeface="Wingdings" panose="05000000000000000000" pitchFamily="2" charset="2"/>
            <a:buChar char="v"/>
          </a:pPr>
          <a:r>
            <a:rPr lang="ru-RU" sz="1100" b="1" i="0" baseline="0">
              <a:solidFill>
                <a:schemeClr val="dk1"/>
              </a:solidFill>
              <a:effectLst/>
              <a:latin typeface="+mn-lt"/>
              <a:ea typeface="+mn-ea"/>
              <a:cs typeface="+mn-cs"/>
            </a:rPr>
            <a:t>Фильтрация сетевого трафика </a:t>
          </a:r>
          <a:r>
            <a:rPr lang="ru-RU" sz="1100" b="0" i="0" baseline="0">
              <a:solidFill>
                <a:schemeClr val="dk1"/>
              </a:solidFill>
              <a:effectLst/>
              <a:latin typeface="+mn-lt"/>
              <a:ea typeface="+mn-ea"/>
              <a:cs typeface="+mn-cs"/>
            </a:rPr>
            <a:t>— предотвращает атаки и утечки данных за счет фильтрации трафика между виртуальными машинами*.</a:t>
          </a:r>
        </a:p>
        <a:p>
          <a:pPr marL="171450" indent="-171450" algn="l">
            <a:spcBef>
              <a:spcPts val="600"/>
            </a:spcBef>
            <a:buFont typeface="Wingdings" panose="05000000000000000000" pitchFamily="2" charset="2"/>
            <a:buChar char="v"/>
          </a:pPr>
          <a:r>
            <a:rPr lang="ru-RU" sz="1100" b="1">
              <a:solidFill>
                <a:schemeClr val="dk1"/>
              </a:solidFill>
              <a:effectLst/>
              <a:latin typeface="+mn-lt"/>
              <a:ea typeface="+mn-ea"/>
              <a:cs typeface="+mn-cs"/>
            </a:rPr>
            <a:t>Поддержка системы идентификации и управления доступом </a:t>
          </a:r>
          <a:r>
            <a:rPr lang="en-US" sz="1100" b="1">
              <a:solidFill>
                <a:schemeClr val="dk1"/>
              </a:solidFill>
              <a:effectLst/>
              <a:latin typeface="+mn-lt"/>
              <a:ea typeface="+mn-ea"/>
              <a:cs typeface="+mn-cs"/>
            </a:rPr>
            <a:t>Keycloak</a:t>
          </a:r>
          <a:r>
            <a:rPr lang="ru-RU" sz="1100" b="0">
              <a:solidFill>
                <a:schemeClr val="dk1"/>
              </a:solidFill>
              <a:effectLst/>
              <a:latin typeface="+mn-lt"/>
              <a:ea typeface="+mn-ea"/>
              <a:cs typeface="+mn-cs"/>
            </a:rPr>
            <a:t>,</a:t>
          </a:r>
          <a:r>
            <a:rPr lang="ru-RU" sz="1100" b="0" baseline="0">
              <a:solidFill>
                <a:schemeClr val="dk1"/>
              </a:solidFill>
              <a:effectLst/>
              <a:latin typeface="+mn-lt"/>
              <a:ea typeface="+mn-ea"/>
              <a:cs typeface="+mn-cs"/>
            </a:rPr>
            <a:t> позволяющая</a:t>
          </a:r>
          <a:r>
            <a:rPr lang="ru-RU" sz="1100" b="0">
              <a:solidFill>
                <a:schemeClr val="dk1"/>
              </a:solidFill>
              <a:effectLst/>
              <a:latin typeface="+mn-lt"/>
              <a:ea typeface="+mn-ea"/>
              <a:cs typeface="+mn-cs"/>
            </a:rPr>
            <a:t> управлять пользователями платформы</a:t>
          </a:r>
          <a:r>
            <a:rPr lang="ru-RU" sz="1100" b="0" baseline="0">
              <a:solidFill>
                <a:schemeClr val="dk1"/>
              </a:solidFill>
              <a:effectLst/>
              <a:latin typeface="+mn-lt"/>
              <a:ea typeface="+mn-ea"/>
              <a:cs typeface="+mn-cs"/>
            </a:rPr>
            <a:t> виртуализации</a:t>
          </a:r>
          <a:r>
            <a:rPr lang="ru-RU" sz="1100" b="0">
              <a:solidFill>
                <a:schemeClr val="dk1"/>
              </a:solidFill>
              <a:effectLst/>
              <a:latin typeface="+mn-lt"/>
              <a:ea typeface="+mn-ea"/>
              <a:cs typeface="+mn-cs"/>
            </a:rPr>
            <a:t>                      zVirt (</a:t>
          </a:r>
          <a:r>
            <a:rPr lang="ru-RU" sz="1100">
              <a:solidFill>
                <a:schemeClr val="dk1"/>
              </a:solidFill>
              <a:effectLst/>
              <a:latin typeface="+mn-lt"/>
              <a:ea typeface="+mn-ea"/>
              <a:cs typeface="+mn-cs"/>
            </a:rPr>
            <a:t>4.2, 4.3, 4.4</a:t>
          </a:r>
          <a:r>
            <a:rPr lang="ru-RU" sz="1100" b="0">
              <a:solidFill>
                <a:schemeClr val="dk1"/>
              </a:solidFill>
              <a:effectLst/>
              <a:latin typeface="+mn-lt"/>
              <a:ea typeface="+mn-ea"/>
              <a:cs typeface="+mn-cs"/>
            </a:rPr>
            <a:t>)*.</a:t>
          </a:r>
          <a:r>
            <a:rPr lang="ru-RU" sz="1100" b="1" i="0" baseline="0">
              <a:solidFill>
                <a:schemeClr val="dk1"/>
              </a:solidFill>
              <a:effectLst/>
              <a:latin typeface="+mn-lt"/>
              <a:ea typeface="+mn-ea"/>
              <a:cs typeface="+mn-cs"/>
            </a:rPr>
            <a:t/>
          </a:r>
          <a:br>
            <a:rPr lang="ru-RU" sz="1100" b="1" i="0" baseline="0">
              <a:solidFill>
                <a:schemeClr val="dk1"/>
              </a:solidFill>
              <a:effectLst/>
              <a:latin typeface="+mn-lt"/>
              <a:ea typeface="+mn-ea"/>
              <a:cs typeface="+mn-cs"/>
            </a:rPr>
          </a:br>
          <a:r>
            <a:rPr lang="ru-RU" sz="1100" b="1" i="0" baseline="0">
              <a:solidFill>
                <a:schemeClr val="dk1"/>
              </a:solidFill>
              <a:effectLst/>
              <a:latin typeface="+mn-lt"/>
              <a:ea typeface="+mn-ea"/>
              <a:cs typeface="+mn-cs"/>
            </a:rPr>
            <a:t/>
          </a:r>
          <a:br>
            <a:rPr lang="ru-RU" sz="1100" b="1" i="0" baseline="0">
              <a:solidFill>
                <a:schemeClr val="dk1"/>
              </a:solidFill>
              <a:effectLst/>
              <a:latin typeface="+mn-lt"/>
              <a:ea typeface="+mn-ea"/>
              <a:cs typeface="+mn-cs"/>
            </a:rPr>
          </a:br>
          <a:r>
            <a:rPr lang="ru-RU" sz="1100" b="0" i="0" baseline="0">
              <a:solidFill>
                <a:schemeClr val="dk1"/>
              </a:solidFill>
              <a:effectLst/>
              <a:latin typeface="+mn-lt"/>
              <a:ea typeface="+mn-ea"/>
              <a:cs typeface="+mn-cs"/>
            </a:rPr>
            <a:t>* -функциональная возможность реализована и будет доступна после прохождения сертификационных испытаний в 1 квартале 2026 г.</a:t>
          </a:r>
          <a:endParaRPr lang="ru-RU">
            <a:effectLst/>
          </a:endParaRPr>
        </a:p>
        <a:p>
          <a:pPr marL="171450" indent="-171450" algn="l">
            <a:spcBef>
              <a:spcPts val="600"/>
            </a:spcBef>
            <a:buFont typeface="Wingdings" panose="05000000000000000000" pitchFamily="2" charset="2"/>
            <a:buChar char="v"/>
          </a:pPr>
          <a:endParaRPr lang="ru-RU" sz="1100" b="0" i="0" u="none" strike="noStrike" baseline="0">
            <a:solidFill>
              <a:schemeClr val="dk1"/>
            </a:solidFill>
            <a:latin typeface="+mn-lt"/>
            <a:ea typeface="+mn-ea"/>
            <a:cs typeface="Arial" panose="020B0604020202020204" pitchFamily="34" charset="0"/>
          </a:endParaRPr>
        </a:p>
        <a:p>
          <a:pPr marL="171450" indent="-171450" algn="l">
            <a:spcBef>
              <a:spcPts val="600"/>
            </a:spcBef>
            <a:buFont typeface="Wingdings" panose="05000000000000000000" pitchFamily="2" charset="2"/>
            <a:buChar char="v"/>
          </a:pPr>
          <a:endParaRPr lang="ru-RU" sz="1100" b="0" i="0" u="none" strike="noStrike" baseline="0">
            <a:solidFill>
              <a:schemeClr val="dk1"/>
            </a:solidFill>
            <a:latin typeface="+mn-lt"/>
            <a:ea typeface="+mn-ea"/>
            <a:cs typeface="Arial" panose="020B0604020202020204" pitchFamily="34" charset="0"/>
          </a:endParaRPr>
        </a:p>
        <a:p>
          <a:pPr marL="171450" indent="-171450" algn="l">
            <a:spcBef>
              <a:spcPts val="600"/>
            </a:spcBef>
            <a:buFont typeface="Wingdings" panose="05000000000000000000" pitchFamily="2" charset="2"/>
            <a:buChar char="v"/>
          </a:pPr>
          <a:endParaRPr lang="ru-RU" sz="1100" b="0" i="0" u="none" strike="noStrike" baseline="0">
            <a:solidFill>
              <a:schemeClr val="dk1"/>
            </a:solidFill>
            <a:latin typeface="+mn-lt"/>
            <a:ea typeface="+mn-ea"/>
            <a:cs typeface="Arial" panose="020B0604020202020204" pitchFamily="34" charset="0"/>
          </a:endParaRPr>
        </a:p>
      </xdr:txBody>
    </xdr:sp>
    <xdr:clientData/>
  </xdr:twoCellAnchor>
  <xdr:twoCellAnchor>
    <xdr:from>
      <xdr:col>15</xdr:col>
      <xdr:colOff>9525</xdr:colOff>
      <xdr:row>4</xdr:row>
      <xdr:rowOff>352927</xdr:rowOff>
    </xdr:from>
    <xdr:to>
      <xdr:col>16</xdr:col>
      <xdr:colOff>590550</xdr:colOff>
      <xdr:row>5</xdr:row>
      <xdr:rowOff>495300</xdr:rowOff>
    </xdr:to>
    <xdr:sp macro="" textlink="">
      <xdr:nvSpPr>
        <xdr:cNvPr id="10" name="Прямоугольник 9">
          <a:hlinkClick xmlns:r="http://schemas.openxmlformats.org/officeDocument/2006/relationships" r:id="rId4"/>
          <a:extLst>
            <a:ext uri="{FF2B5EF4-FFF2-40B4-BE49-F238E27FC236}">
              <a16:creationId xmlns:a16="http://schemas.microsoft.com/office/drawing/2014/main" xmlns="" id="{00000000-0008-0000-0D00-00000A000000}"/>
            </a:ext>
          </a:extLst>
        </xdr:cNvPr>
        <xdr:cNvSpPr/>
      </xdr:nvSpPr>
      <xdr:spPr>
        <a:xfrm>
          <a:off x="9153525" y="953002"/>
          <a:ext cx="1190625" cy="18999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15</xdr:col>
      <xdr:colOff>86178</xdr:colOff>
      <xdr:row>7</xdr:row>
      <xdr:rowOff>836387</xdr:rowOff>
    </xdr:from>
    <xdr:to>
      <xdr:col>17</xdr:col>
      <xdr:colOff>5443</xdr:colOff>
      <xdr:row>9</xdr:row>
      <xdr:rowOff>9120</xdr:rowOff>
    </xdr:to>
    <xdr:sp macro="" textlink="">
      <xdr:nvSpPr>
        <xdr:cNvPr id="11" name="Прямоугольник 10">
          <a:hlinkClick xmlns:r="http://schemas.openxmlformats.org/officeDocument/2006/relationships" r:id="rId5"/>
          <a:extLst>
            <a:ext uri="{FF2B5EF4-FFF2-40B4-BE49-F238E27FC236}">
              <a16:creationId xmlns:a16="http://schemas.microsoft.com/office/drawing/2014/main" xmlns="" id="{00000000-0008-0000-0D00-00000B000000}"/>
            </a:ext>
          </a:extLst>
        </xdr:cNvPr>
        <xdr:cNvSpPr/>
      </xdr:nvSpPr>
      <xdr:spPr>
        <a:xfrm>
          <a:off x="9230178" y="1522187"/>
          <a:ext cx="1138465" cy="20143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15</xdr:col>
      <xdr:colOff>217714</xdr:colOff>
      <xdr:row>10</xdr:row>
      <xdr:rowOff>925286</xdr:rowOff>
    </xdr:from>
    <xdr:to>
      <xdr:col>17</xdr:col>
      <xdr:colOff>10433</xdr:colOff>
      <xdr:row>11</xdr:row>
      <xdr:rowOff>517071</xdr:rowOff>
    </xdr:to>
    <xdr:sp macro="" textlink="">
      <xdr:nvSpPr>
        <xdr:cNvPr id="12" name="Прямоугольник 11">
          <a:hlinkClick xmlns:r="http://schemas.openxmlformats.org/officeDocument/2006/relationships" r:id="rId6"/>
          <a:extLst>
            <a:ext uri="{FF2B5EF4-FFF2-40B4-BE49-F238E27FC236}">
              <a16:creationId xmlns:a16="http://schemas.microsoft.com/office/drawing/2014/main" xmlns="" id="{00000000-0008-0000-0D00-00000C000000}"/>
            </a:ext>
          </a:extLst>
        </xdr:cNvPr>
        <xdr:cNvSpPr/>
      </xdr:nvSpPr>
      <xdr:spPr>
        <a:xfrm>
          <a:off x="9361714" y="2096861"/>
          <a:ext cx="1011919" cy="1918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15</xdr:col>
      <xdr:colOff>323396</xdr:colOff>
      <xdr:row>14</xdr:row>
      <xdr:rowOff>35551</xdr:rowOff>
    </xdr:from>
    <xdr:to>
      <xdr:col>16</xdr:col>
      <xdr:colOff>612321</xdr:colOff>
      <xdr:row>14</xdr:row>
      <xdr:rowOff>497846</xdr:rowOff>
    </xdr:to>
    <xdr:sp macro="" textlink="">
      <xdr:nvSpPr>
        <xdr:cNvPr id="13" name="Прямоугольник 12">
          <a:hlinkClick xmlns:r="http://schemas.openxmlformats.org/officeDocument/2006/relationships" r:id="rId7"/>
          <a:extLst>
            <a:ext uri="{FF2B5EF4-FFF2-40B4-BE49-F238E27FC236}">
              <a16:creationId xmlns:a16="http://schemas.microsoft.com/office/drawing/2014/main" xmlns="" id="{00000000-0008-0000-0D00-00000D000000}"/>
            </a:ext>
          </a:extLst>
        </xdr:cNvPr>
        <xdr:cNvSpPr/>
      </xdr:nvSpPr>
      <xdr:spPr>
        <a:xfrm>
          <a:off x="9467396" y="2702551"/>
          <a:ext cx="898525" cy="15749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0</xdr:col>
      <xdr:colOff>139130</xdr:colOff>
      <xdr:row>12</xdr:row>
      <xdr:rowOff>91546</xdr:rowOff>
    </xdr:from>
    <xdr:to>
      <xdr:col>16</xdr:col>
      <xdr:colOff>482600</xdr:colOff>
      <xdr:row>12</xdr:row>
      <xdr:rowOff>845477</xdr:rowOff>
    </xdr:to>
    <xdr:sp macro="" textlink="">
      <xdr:nvSpPr>
        <xdr:cNvPr id="15" name="TextBox 14">
          <a:extLst>
            <a:ext uri="{FF2B5EF4-FFF2-40B4-BE49-F238E27FC236}">
              <a16:creationId xmlns:a16="http://schemas.microsoft.com/office/drawing/2014/main" xmlns="" id="{00000000-0008-0000-0D00-00000F000000}"/>
            </a:ext>
          </a:extLst>
        </xdr:cNvPr>
        <xdr:cNvSpPr txBox="1"/>
      </xdr:nvSpPr>
      <xdr:spPr>
        <a:xfrm>
          <a:off x="139130" y="19052646"/>
          <a:ext cx="11544870" cy="75393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ru-RU" sz="1100" b="0" i="0">
              <a:solidFill>
                <a:schemeClr val="dk1"/>
              </a:solidFill>
              <a:effectLst/>
              <a:latin typeface="+mn-lt"/>
              <a:ea typeface="+mn-ea"/>
              <a:cs typeface="+mn-cs"/>
            </a:rPr>
            <a:t>Сертифицированная система защиты конфиденциальной информации накладного типа. Предназначена для автономных персональных компьютеров и компьютеров в составе локально-вычислительной сети, в том числе под управлением контроллера домена.</a:t>
          </a:r>
          <a:r>
            <a:rPr lang="ru-RU" sz="1100" b="0" i="0" baseline="0">
              <a:solidFill>
                <a:schemeClr val="dk1"/>
              </a:solidFill>
              <a:effectLst/>
              <a:latin typeface="+mn-lt"/>
              <a:ea typeface="+mn-ea"/>
              <a:cs typeface="+mn-cs"/>
            </a:rPr>
            <a:t> </a:t>
          </a:r>
          <a:r>
            <a:rPr lang="ru-RU" sz="1100" b="0" i="0">
              <a:solidFill>
                <a:schemeClr val="dk1"/>
              </a:solidFill>
              <a:effectLst/>
              <a:latin typeface="+mn-lt"/>
              <a:ea typeface="+mn-ea"/>
              <a:cs typeface="+mn-cs"/>
            </a:rPr>
            <a:t>Представляет собой программный комплекс средств защиты информации в ОС семейства </a:t>
          </a:r>
          <a:r>
            <a:rPr lang="en-US" sz="1100" b="0" i="0">
              <a:solidFill>
                <a:schemeClr val="dk1"/>
              </a:solidFill>
              <a:effectLst/>
              <a:latin typeface="+mn-lt"/>
              <a:ea typeface="+mn-ea"/>
              <a:cs typeface="+mn-cs"/>
            </a:rPr>
            <a:t>Windows </a:t>
          </a:r>
          <a:r>
            <a:rPr lang="ru-RU" sz="1100" b="0" i="0">
              <a:solidFill>
                <a:schemeClr val="dk1"/>
              </a:solidFill>
              <a:effectLst/>
              <a:latin typeface="+mn-lt"/>
              <a:ea typeface="+mn-ea"/>
              <a:cs typeface="+mn-cs"/>
            </a:rPr>
            <a:t>с возможностью подключения аппаратных идентификаторов.</a:t>
          </a:r>
          <a:r>
            <a:rPr lang="ru-RU" sz="1100" b="1" i="0">
              <a:solidFill>
                <a:schemeClr val="dk1"/>
              </a:solidFill>
              <a:effectLst/>
              <a:latin typeface="+mn-lt"/>
              <a:ea typeface="+mn-ea"/>
              <a:cs typeface="+mn-cs"/>
            </a:rPr>
            <a:t>Сертификат ФСТЭК России  № 2720</a:t>
          </a:r>
          <a:r>
            <a:rPr lang="ru-RU" sz="1100" b="0" i="0">
              <a:solidFill>
                <a:schemeClr val="dk1"/>
              </a:solidFill>
              <a:effectLst/>
              <a:latin typeface="+mn-lt"/>
              <a:ea typeface="+mn-ea"/>
              <a:cs typeface="+mn-cs"/>
            </a:rPr>
            <a:t> от 25 сентября 2012 г.</a:t>
          </a:r>
        </a:p>
        <a:p>
          <a:endParaRPr lang="ru-RU">
            <a:effectLst/>
          </a:endParaRPr>
        </a:p>
      </xdr:txBody>
    </xdr:sp>
    <xdr:clientData/>
  </xdr:twoCellAnchor>
  <xdr:twoCellAnchor>
    <xdr:from>
      <xdr:col>0</xdr:col>
      <xdr:colOff>107128</xdr:colOff>
      <xdr:row>15</xdr:row>
      <xdr:rowOff>179627</xdr:rowOff>
    </xdr:from>
    <xdr:to>
      <xdr:col>16</xdr:col>
      <xdr:colOff>431800</xdr:colOff>
      <xdr:row>15</xdr:row>
      <xdr:rowOff>1400736</xdr:rowOff>
    </xdr:to>
    <xdr:sp macro="" textlink="">
      <xdr:nvSpPr>
        <xdr:cNvPr id="16" name="TextBox 15">
          <a:extLst>
            <a:ext uri="{FF2B5EF4-FFF2-40B4-BE49-F238E27FC236}">
              <a16:creationId xmlns:a16="http://schemas.microsoft.com/office/drawing/2014/main" xmlns="" id="{00000000-0008-0000-0D00-000010000000}"/>
            </a:ext>
          </a:extLst>
        </xdr:cNvPr>
        <xdr:cNvSpPr txBox="1"/>
      </xdr:nvSpPr>
      <xdr:spPr>
        <a:xfrm>
          <a:off x="107128" y="29237227"/>
          <a:ext cx="11526072" cy="122110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ru-RU" sz="1100" b="0" i="0">
              <a:solidFill>
                <a:schemeClr val="dk1"/>
              </a:solidFill>
              <a:effectLst/>
              <a:latin typeface="+mn-lt"/>
              <a:ea typeface="+mn-ea"/>
              <a:cs typeface="+mn-cs"/>
            </a:rPr>
            <a:t>Сертифицированная система накладного типа для защиты конфиденциальной информации и информации, содержащей сведения, составляющие </a:t>
          </a:r>
          <a:r>
            <a:rPr lang="ru-RU" sz="1100" b="1" i="0">
              <a:solidFill>
                <a:schemeClr val="dk1"/>
              </a:solidFill>
              <a:effectLst/>
              <a:latin typeface="+mn-lt"/>
              <a:ea typeface="+mn-ea"/>
              <a:cs typeface="+mn-cs"/>
            </a:rPr>
            <a:t>государственную тайну до уровня «совершенно секретно» включительно</a:t>
          </a:r>
          <a:r>
            <a:rPr lang="ru-RU" sz="1100" b="0" i="0">
              <a:solidFill>
                <a:schemeClr val="dk1"/>
              </a:solidFill>
              <a:effectLst/>
              <a:latin typeface="+mn-lt"/>
              <a:ea typeface="+mn-ea"/>
              <a:cs typeface="+mn-cs"/>
            </a:rPr>
            <a:t>. Предназначена для автономных персональных компьютеров и компьютеров в составе локально-вычислительной сети, в том числе под управлением контроллера домена.</a:t>
          </a:r>
          <a:r>
            <a:rPr lang="ru-RU" sz="1100" b="0" i="0" baseline="0">
              <a:solidFill>
                <a:schemeClr val="dk1"/>
              </a:solidFill>
              <a:effectLst/>
              <a:latin typeface="+mn-lt"/>
              <a:ea typeface="+mn-ea"/>
              <a:cs typeface="+mn-cs"/>
            </a:rPr>
            <a:t> </a:t>
          </a:r>
          <a:r>
            <a:rPr lang="ru-RU" sz="1100" b="1" i="0">
              <a:solidFill>
                <a:schemeClr val="dk1"/>
              </a:solidFill>
              <a:effectLst/>
              <a:latin typeface="+mn-lt"/>
              <a:ea typeface="+mn-ea"/>
              <a:cs typeface="+mn-cs"/>
            </a:rPr>
            <a:t>Сертификат ФСТЭК России № 2945</a:t>
          </a:r>
          <a:r>
            <a:rPr lang="ru-RU" sz="1100" b="0" i="0">
              <a:solidFill>
                <a:schemeClr val="dk1"/>
              </a:solidFill>
              <a:effectLst/>
              <a:latin typeface="+mn-lt"/>
              <a:ea typeface="+mn-ea"/>
              <a:cs typeface="+mn-cs"/>
            </a:rPr>
            <a:t> от 16 августа 2013 г.</a:t>
          </a:r>
        </a:p>
        <a:p>
          <a:endParaRPr lang="ru-RU" sz="1100" b="0" i="0">
            <a:solidFill>
              <a:schemeClr val="dk1"/>
            </a:solidFill>
            <a:effectLst/>
            <a:latin typeface="+mn-lt"/>
            <a:ea typeface="+mn-ea"/>
            <a:cs typeface="+mn-cs"/>
          </a:endParaRPr>
        </a:p>
        <a:p>
          <a:r>
            <a:rPr lang="en-US" sz="1400" b="1" i="0" u="none" baseline="0">
              <a:solidFill>
                <a:schemeClr val="dk1"/>
              </a:solidFill>
              <a:effectLst/>
              <a:latin typeface="+mn-lt"/>
              <a:ea typeface="+mn-ea"/>
              <a:cs typeface="+mn-cs"/>
            </a:rPr>
            <a:t>Dallas Lock 8.0-</a:t>
          </a:r>
          <a:r>
            <a:rPr lang="ru-RU" sz="1400" b="1" i="0" u="none" baseline="0">
              <a:solidFill>
                <a:schemeClr val="dk1"/>
              </a:solidFill>
              <a:effectLst/>
              <a:latin typeface="+mn-lt"/>
              <a:ea typeface="+mn-ea"/>
              <a:cs typeface="+mn-cs"/>
            </a:rPr>
            <a:t>С выполняет такой же широкий спектр функциональных возможностей, что и </a:t>
          </a:r>
          <a:r>
            <a:rPr lang="en-US" sz="1400" b="1" i="0" u="none" baseline="0">
              <a:solidFill>
                <a:schemeClr val="dk1"/>
              </a:solidFill>
              <a:effectLst/>
              <a:latin typeface="+mn-lt"/>
              <a:ea typeface="+mn-ea"/>
              <a:cs typeface="+mn-cs"/>
            </a:rPr>
            <a:t>Dallas Lock 8.0-</a:t>
          </a:r>
          <a:r>
            <a:rPr lang="ru-RU" sz="1400" b="1" i="0" u="none" baseline="0">
              <a:solidFill>
                <a:schemeClr val="dk1"/>
              </a:solidFill>
              <a:effectLst/>
              <a:latin typeface="+mn-lt"/>
              <a:ea typeface="+mn-ea"/>
              <a:cs typeface="+mn-cs"/>
            </a:rPr>
            <a:t>К, однако есть и дополнительные функции защиты:</a:t>
          </a:r>
        </a:p>
      </xdr:txBody>
    </xdr:sp>
    <xdr:clientData/>
  </xdr:twoCellAnchor>
  <xdr:oneCellAnchor>
    <xdr:from>
      <xdr:col>15</xdr:col>
      <xdr:colOff>369002</xdr:colOff>
      <xdr:row>19</xdr:row>
      <xdr:rowOff>234914</xdr:rowOff>
    </xdr:from>
    <xdr:ext cx="185759" cy="185759"/>
    <xdr:pic>
      <xdr:nvPicPr>
        <xdr:cNvPr id="17" name="Рисунок 16">
          <a:extLst>
            <a:ext uri="{FF2B5EF4-FFF2-40B4-BE49-F238E27FC236}">
              <a16:creationId xmlns:a16="http://schemas.microsoft.com/office/drawing/2014/main" xmlns="" id="{00000000-0008-0000-0D00-000011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9513002" y="3806789"/>
          <a:ext cx="185759" cy="185759"/>
        </a:xfrm>
        <a:prstGeom prst="rect">
          <a:avLst/>
        </a:prstGeom>
      </xdr:spPr>
    </xdr:pic>
    <xdr:clientData/>
  </xdr:oneCellAnchor>
  <xdr:twoCellAnchor>
    <xdr:from>
      <xdr:col>15</xdr:col>
      <xdr:colOff>258536</xdr:colOff>
      <xdr:row>19</xdr:row>
      <xdr:rowOff>10737</xdr:rowOff>
    </xdr:from>
    <xdr:to>
      <xdr:col>16</xdr:col>
      <xdr:colOff>621446</xdr:colOff>
      <xdr:row>20</xdr:row>
      <xdr:rowOff>13606</xdr:rowOff>
    </xdr:to>
    <xdr:sp macro="" textlink="">
      <xdr:nvSpPr>
        <xdr:cNvPr id="18" name="Прямоугольник 17">
          <a:hlinkClick xmlns:r="http://schemas.openxmlformats.org/officeDocument/2006/relationships" r:id="rId8"/>
          <a:extLst>
            <a:ext uri="{FF2B5EF4-FFF2-40B4-BE49-F238E27FC236}">
              <a16:creationId xmlns:a16="http://schemas.microsoft.com/office/drawing/2014/main" xmlns="" id="{00000000-0008-0000-0D00-000012000000}"/>
            </a:ext>
          </a:extLst>
        </xdr:cNvPr>
        <xdr:cNvSpPr/>
      </xdr:nvSpPr>
      <xdr:spPr>
        <a:xfrm>
          <a:off x="9402536" y="3630237"/>
          <a:ext cx="962985" cy="19336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0</xdr:col>
      <xdr:colOff>57151</xdr:colOff>
      <xdr:row>20</xdr:row>
      <xdr:rowOff>75807</xdr:rowOff>
    </xdr:from>
    <xdr:to>
      <xdr:col>16</xdr:col>
      <xdr:colOff>493059</xdr:colOff>
      <xdr:row>21</xdr:row>
      <xdr:rowOff>146538</xdr:rowOff>
    </xdr:to>
    <xdr:sp macro="" textlink="">
      <xdr:nvSpPr>
        <xdr:cNvPr id="19" name="TextBox 18">
          <a:extLst>
            <a:ext uri="{FF2B5EF4-FFF2-40B4-BE49-F238E27FC236}">
              <a16:creationId xmlns:a16="http://schemas.microsoft.com/office/drawing/2014/main" xmlns="" id="{00000000-0008-0000-0D00-000013000000}"/>
            </a:ext>
          </a:extLst>
        </xdr:cNvPr>
        <xdr:cNvSpPr txBox="1"/>
      </xdr:nvSpPr>
      <xdr:spPr>
        <a:xfrm>
          <a:off x="57151" y="3885807"/>
          <a:ext cx="10189508" cy="26123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ru-RU" sz="1100" b="0" i="0" baseline="0">
              <a:solidFill>
                <a:schemeClr val="dk1"/>
              </a:solidFill>
              <a:effectLst/>
              <a:latin typeface="+mn-lt"/>
              <a:ea typeface="+mn-ea"/>
              <a:cs typeface="+mn-cs"/>
            </a:rPr>
            <a:t>Единый центр управления </a:t>
          </a:r>
          <a:r>
            <a:rPr lang="en-US" sz="1100" b="0" i="0" baseline="0">
              <a:solidFill>
                <a:schemeClr val="dk1"/>
              </a:solidFill>
              <a:effectLst/>
              <a:latin typeface="+mn-lt"/>
              <a:ea typeface="+mn-ea"/>
              <a:cs typeface="+mn-cs"/>
            </a:rPr>
            <a:t>Dallas Lock </a:t>
          </a:r>
          <a:r>
            <a:rPr lang="ru-RU" sz="1100" b="0" i="0" baseline="0">
              <a:solidFill>
                <a:schemeClr val="dk1"/>
              </a:solidFill>
              <a:effectLst/>
              <a:latin typeface="+mn-lt"/>
              <a:ea typeface="+mn-ea"/>
              <a:cs typeface="+mn-cs"/>
            </a:rPr>
            <a:t>(ЕЦУ)</a:t>
          </a:r>
          <a:r>
            <a:rPr lang="en-US" sz="1100" b="0" i="0" baseline="0">
              <a:solidFill>
                <a:schemeClr val="dk1"/>
              </a:solidFill>
              <a:effectLst/>
              <a:latin typeface="+mn-lt"/>
              <a:ea typeface="+mn-ea"/>
              <a:cs typeface="+mn-cs"/>
            </a:rPr>
            <a:t>— </a:t>
          </a:r>
          <a:r>
            <a:rPr lang="ru-RU" sz="1100" b="0" i="0" baseline="0">
              <a:solidFill>
                <a:schemeClr val="dk1"/>
              </a:solidFill>
              <a:effectLst/>
              <a:latin typeface="+mn-lt"/>
              <a:ea typeface="+mn-ea"/>
              <a:cs typeface="+mn-cs"/>
            </a:rPr>
            <a:t> это кроссплатформенное средство централизованного управления, функционирующее в том числе на сертифицированных российских операционных системах. Решение предназначено для комплексного контроля всей ИТ-инфраструктуры организации — от рабочих станций и серверов до сетевого оборудования и периферийных устройств.</a:t>
          </a:r>
          <a:endParaRPr lang="ru-RU">
            <a:effectLst/>
          </a:endParaRPr>
        </a:p>
        <a:p>
          <a:r>
            <a:rPr lang="ru-RU" sz="1100">
              <a:solidFill>
                <a:schemeClr val="dk1"/>
              </a:solidFill>
              <a:effectLst/>
              <a:latin typeface="+mn-lt"/>
              <a:ea typeface="+mn-ea"/>
              <a:cs typeface="+mn-cs"/>
            </a:rPr>
            <a:t>ЕЦУ </a:t>
          </a:r>
          <a:r>
            <a:rPr lang="en-US" sz="1100">
              <a:solidFill>
                <a:schemeClr val="dk1"/>
              </a:solidFill>
              <a:effectLst/>
              <a:latin typeface="+mn-lt"/>
              <a:ea typeface="+mn-ea"/>
              <a:cs typeface="+mn-cs"/>
            </a:rPr>
            <a:t>Dallas Lock </a:t>
          </a:r>
          <a:r>
            <a:rPr lang="ru-RU" sz="1100">
              <a:solidFill>
                <a:schemeClr val="dk1"/>
              </a:solidFill>
              <a:effectLst/>
              <a:latin typeface="+mn-lt"/>
              <a:ea typeface="+mn-ea"/>
              <a:cs typeface="+mn-cs"/>
            </a:rPr>
            <a:t>рекомендуется для небольших инфраструктур, а при более чем 100 защищаемых объектах его использование обязательно. Возможность построения иерархической структуры подчиненных доменов и создания отказоустойчивых кластеров из отдельных серверов ЕЦУ </a:t>
          </a:r>
          <a:r>
            <a:rPr lang="en-US" sz="1100">
              <a:solidFill>
                <a:schemeClr val="dk1"/>
              </a:solidFill>
              <a:effectLst/>
              <a:latin typeface="+mn-lt"/>
              <a:ea typeface="+mn-ea"/>
              <a:cs typeface="+mn-cs"/>
            </a:rPr>
            <a:t>Dallas Lock </a:t>
          </a:r>
          <a:r>
            <a:rPr lang="ru-RU" sz="1100">
              <a:solidFill>
                <a:schemeClr val="dk1"/>
              </a:solidFill>
              <a:effectLst/>
              <a:latin typeface="+mn-lt"/>
              <a:ea typeface="+mn-ea"/>
              <a:cs typeface="+mn-cs"/>
            </a:rPr>
            <a:t>позволяет управлять сложной гетерогенной инфраструктурой с неограниченным количеством защищаемых объектов</a:t>
          </a:r>
          <a:endParaRPr lang="ru-RU">
            <a:effectLst/>
          </a:endParaRPr>
        </a:p>
        <a:p>
          <a:endParaRPr lang="ru-RU">
            <a:effectLst/>
          </a:endParaRPr>
        </a:p>
        <a:p>
          <a:pPr eaLnBrk="1" fontAlgn="auto" latinLnBrk="0" hangingPunct="1"/>
          <a:endParaRPr lang="ru-RU">
            <a:effectLst/>
          </a:endParaRPr>
        </a:p>
      </xdr:txBody>
    </xdr:sp>
    <xdr:clientData/>
  </xdr:twoCellAnchor>
  <xdr:twoCellAnchor>
    <xdr:from>
      <xdr:col>1</xdr:col>
      <xdr:colOff>6351</xdr:colOff>
      <xdr:row>53</xdr:row>
      <xdr:rowOff>0</xdr:rowOff>
    </xdr:from>
    <xdr:to>
      <xdr:col>16</xdr:col>
      <xdr:colOff>601009</xdr:colOff>
      <xdr:row>58</xdr:row>
      <xdr:rowOff>54427</xdr:rowOff>
    </xdr:to>
    <xdr:sp macro="" textlink="">
      <xdr:nvSpPr>
        <xdr:cNvPr id="20" name="TextBox 19">
          <a:extLst>
            <a:ext uri="{FF2B5EF4-FFF2-40B4-BE49-F238E27FC236}">
              <a16:creationId xmlns:a16="http://schemas.microsoft.com/office/drawing/2014/main" xmlns="" id="{00000000-0008-0000-0D00-000014000000}"/>
            </a:ext>
          </a:extLst>
        </xdr:cNvPr>
        <xdr:cNvSpPr txBox="1"/>
      </xdr:nvSpPr>
      <xdr:spPr>
        <a:xfrm>
          <a:off x="615951" y="10096500"/>
          <a:ext cx="9738658" cy="100692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b="0"/>
            <a:t>WAF Dallas Lock </a:t>
          </a:r>
          <a:r>
            <a:rPr lang="en-US"/>
            <a:t>— </a:t>
          </a:r>
          <a:r>
            <a:rPr lang="ru-RU"/>
            <a:t>межсетевой экран прикладного уровня, предназначенный для защиты веб-серверов, обслуживающих сайты, </a:t>
          </a:r>
        </a:p>
        <a:p>
          <a:r>
            <a:rPr lang="ru-RU"/>
            <a:t>веб-службы и веб-приложения, от сетевых атак и нежелательного интернет-трафика. </a:t>
          </a:r>
          <a:r>
            <a:rPr lang="ru-RU" sz="1100" b="1" i="0">
              <a:solidFill>
                <a:schemeClr val="dk1"/>
              </a:solidFill>
              <a:effectLst/>
              <a:latin typeface="+mn-lt"/>
              <a:ea typeface="+mn-ea"/>
              <a:cs typeface="+mn-cs"/>
            </a:rPr>
            <a:t>Сертификат ФСТЭК России № 4863</a:t>
          </a:r>
          <a:r>
            <a:rPr lang="ru-RU" sz="1100" b="0" i="0">
              <a:solidFill>
                <a:schemeClr val="dk1"/>
              </a:solidFill>
              <a:effectLst/>
              <a:latin typeface="+mn-lt"/>
              <a:ea typeface="+mn-ea"/>
              <a:cs typeface="+mn-cs"/>
            </a:rPr>
            <a:t> от 8 октября 2024 года.</a:t>
          </a:r>
          <a:r>
            <a:rPr lang="ru-RU"/>
            <a:t/>
          </a:r>
          <a:br>
            <a:rPr lang="ru-RU"/>
          </a:br>
          <a:r>
            <a:rPr lang="ru-RU"/>
            <a:t/>
          </a:r>
          <a:br>
            <a:rPr lang="ru-RU"/>
          </a:br>
          <a:r>
            <a:rPr lang="ru-RU" sz="1100" b="1">
              <a:solidFill>
                <a:schemeClr val="dk1"/>
              </a:solidFill>
              <a:effectLst/>
              <a:latin typeface="+mn-lt"/>
              <a:ea typeface="+mn-ea"/>
              <a:cs typeface="+mn-cs"/>
            </a:rPr>
            <a:t>WAF Dallas Lock включает в себя два функциональных модуля:</a:t>
          </a:r>
          <a:endParaRPr lang="en-US" b="1"/>
        </a:p>
        <a:p>
          <a:endParaRPr lang="en-US">
            <a:effectLst/>
          </a:endParaRPr>
        </a:p>
        <a:p>
          <a:endParaRPr lang="ru-RU">
            <a:effectLst/>
          </a:endParaRPr>
        </a:p>
      </xdr:txBody>
    </xdr:sp>
    <xdr:clientData/>
  </xdr:twoCellAnchor>
  <xdr:oneCellAnchor>
    <xdr:from>
      <xdr:col>15</xdr:col>
      <xdr:colOff>403646</xdr:colOff>
      <xdr:row>51</xdr:row>
      <xdr:rowOff>187240</xdr:rowOff>
    </xdr:from>
    <xdr:ext cx="185759" cy="185759"/>
    <xdr:pic>
      <xdr:nvPicPr>
        <xdr:cNvPr id="21" name="Рисунок 20">
          <a:extLst>
            <a:ext uri="{FF2B5EF4-FFF2-40B4-BE49-F238E27FC236}">
              <a16:creationId xmlns:a16="http://schemas.microsoft.com/office/drawing/2014/main" xmlns="" id="{00000000-0008-0000-0D00-000015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9547646" y="9902740"/>
          <a:ext cx="185759" cy="185759"/>
        </a:xfrm>
        <a:prstGeom prst="rect">
          <a:avLst/>
        </a:prstGeom>
      </xdr:spPr>
    </xdr:pic>
    <xdr:clientData/>
  </xdr:oneCellAnchor>
  <xdr:oneCellAnchor>
    <xdr:from>
      <xdr:col>1</xdr:col>
      <xdr:colOff>0</xdr:colOff>
      <xdr:row>4</xdr:row>
      <xdr:rowOff>0</xdr:rowOff>
    </xdr:from>
    <xdr:ext cx="304800" cy="309289"/>
    <xdr:sp macro="" textlink="">
      <xdr:nvSpPr>
        <xdr:cNvPr id="22" name="AutoShape 2" descr="https://dallaslock.ru/images/szvi-dallas-lock/russian-virtualization-platforms.svg">
          <a:extLst>
            <a:ext uri="{FF2B5EF4-FFF2-40B4-BE49-F238E27FC236}">
              <a16:creationId xmlns:a16="http://schemas.microsoft.com/office/drawing/2014/main" xmlns="" id="{00000000-0008-0000-0D00-000016000000}"/>
            </a:ext>
          </a:extLst>
        </xdr:cNvPr>
        <xdr:cNvSpPr>
          <a:spLocks noChangeAspect="1" noChangeArrowheads="1"/>
        </xdr:cNvSpPr>
      </xdr:nvSpPr>
      <xdr:spPr bwMode="auto">
        <a:xfrm>
          <a:off x="609600" y="762000"/>
          <a:ext cx="304800" cy="30928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4</xdr:row>
      <xdr:rowOff>0</xdr:rowOff>
    </xdr:from>
    <xdr:ext cx="304800" cy="309289"/>
    <xdr:sp macro="" textlink="">
      <xdr:nvSpPr>
        <xdr:cNvPr id="23" name="AutoShape 3" descr="https://dallaslock.ru/images/szvi-dallas-lock/russian-virtualization-platforms.svg">
          <a:extLst>
            <a:ext uri="{FF2B5EF4-FFF2-40B4-BE49-F238E27FC236}">
              <a16:creationId xmlns:a16="http://schemas.microsoft.com/office/drawing/2014/main" xmlns="" id="{00000000-0008-0000-0D00-000017000000}"/>
            </a:ext>
          </a:extLst>
        </xdr:cNvPr>
        <xdr:cNvSpPr>
          <a:spLocks noChangeAspect="1" noChangeArrowheads="1"/>
        </xdr:cNvSpPr>
      </xdr:nvSpPr>
      <xdr:spPr bwMode="auto">
        <a:xfrm>
          <a:off x="609600" y="762000"/>
          <a:ext cx="304800" cy="30928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20598</xdr:colOff>
      <xdr:row>1</xdr:row>
      <xdr:rowOff>708951</xdr:rowOff>
    </xdr:from>
    <xdr:ext cx="1628774" cy="501027"/>
    <xdr:pic>
      <xdr:nvPicPr>
        <xdr:cNvPr id="24" name="Рисунок 23">
          <a:extLst>
            <a:ext uri="{FF2B5EF4-FFF2-40B4-BE49-F238E27FC236}">
              <a16:creationId xmlns:a16="http://schemas.microsoft.com/office/drawing/2014/main" xmlns="" id="{00000000-0008-0000-0D00-000018000000}"/>
            </a:ext>
          </a:extLst>
        </xdr:cNvPr>
        <xdr:cNvPicPr>
          <a:picLocks noChangeAspect="1"/>
        </xdr:cNvPicPr>
      </xdr:nvPicPr>
      <xdr:blipFill>
        <a:blip xmlns:r="http://schemas.openxmlformats.org/officeDocument/2006/relationships" r:embed="rId9"/>
        <a:stretch>
          <a:fillRect/>
        </a:stretch>
      </xdr:blipFill>
      <xdr:spPr>
        <a:xfrm>
          <a:off x="630198" y="385101"/>
          <a:ext cx="1628774" cy="501027"/>
        </a:xfrm>
        <a:prstGeom prst="rect">
          <a:avLst/>
        </a:prstGeom>
      </xdr:spPr>
    </xdr:pic>
    <xdr:clientData/>
  </xdr:oneCellAnchor>
  <xdr:oneCellAnchor>
    <xdr:from>
      <xdr:col>4</xdr:col>
      <xdr:colOff>164775</xdr:colOff>
      <xdr:row>1</xdr:row>
      <xdr:rowOff>652369</xdr:rowOff>
    </xdr:from>
    <xdr:ext cx="1681388" cy="465020"/>
    <xdr:pic>
      <xdr:nvPicPr>
        <xdr:cNvPr id="25" name="Рисунок 24">
          <a:extLst>
            <a:ext uri="{FF2B5EF4-FFF2-40B4-BE49-F238E27FC236}">
              <a16:creationId xmlns:a16="http://schemas.microsoft.com/office/drawing/2014/main" xmlns="" id="{00000000-0008-0000-0D00-000019000000}"/>
            </a:ext>
          </a:extLst>
        </xdr:cNvPr>
        <xdr:cNvPicPr>
          <a:picLocks noChangeAspect="1"/>
        </xdr:cNvPicPr>
      </xdr:nvPicPr>
      <xdr:blipFill>
        <a:blip xmlns:r="http://schemas.openxmlformats.org/officeDocument/2006/relationships" r:embed="rId10"/>
        <a:stretch>
          <a:fillRect/>
        </a:stretch>
      </xdr:blipFill>
      <xdr:spPr>
        <a:xfrm>
          <a:off x="2603175" y="385669"/>
          <a:ext cx="1681388" cy="465020"/>
        </a:xfrm>
        <a:prstGeom prst="rect">
          <a:avLst/>
        </a:prstGeom>
      </xdr:spPr>
    </xdr:pic>
    <xdr:clientData/>
  </xdr:oneCellAnchor>
  <xdr:twoCellAnchor>
    <xdr:from>
      <xdr:col>0</xdr:col>
      <xdr:colOff>97490</xdr:colOff>
      <xdr:row>1</xdr:row>
      <xdr:rowOff>38101</xdr:rowOff>
    </xdr:from>
    <xdr:to>
      <xdr:col>16</xdr:col>
      <xdr:colOff>190500</xdr:colOff>
      <xdr:row>1</xdr:row>
      <xdr:rowOff>512884</xdr:rowOff>
    </xdr:to>
    <xdr:sp macro="" textlink="">
      <xdr:nvSpPr>
        <xdr:cNvPr id="26" name="TextBox 25">
          <a:extLst>
            <a:ext uri="{FF2B5EF4-FFF2-40B4-BE49-F238E27FC236}">
              <a16:creationId xmlns:a16="http://schemas.microsoft.com/office/drawing/2014/main" xmlns="" id="{00000000-0008-0000-0D00-00001A000000}"/>
            </a:ext>
          </a:extLst>
        </xdr:cNvPr>
        <xdr:cNvSpPr txBox="1"/>
      </xdr:nvSpPr>
      <xdr:spPr>
        <a:xfrm>
          <a:off x="97490" y="228601"/>
          <a:ext cx="9846610" cy="15093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ru-RU" sz="1100" b="0" i="0" baseline="0">
              <a:solidFill>
                <a:schemeClr val="dk1"/>
              </a:solidFill>
              <a:effectLst/>
              <a:latin typeface="+mn-lt"/>
              <a:ea typeface="+mn-ea"/>
              <a:cs typeface="+mn-cs"/>
            </a:rPr>
            <a:t>Сертифицированная с</a:t>
          </a:r>
          <a:r>
            <a:rPr lang="ru-RU" sz="1100" b="0" i="0">
              <a:solidFill>
                <a:schemeClr val="dk1"/>
              </a:solidFill>
              <a:effectLst/>
              <a:latin typeface="+mn-lt"/>
              <a:ea typeface="+mn-ea"/>
              <a:cs typeface="+mn-cs"/>
            </a:rPr>
            <a:t>истема защиты информации в виртуальных инфраструктурах</a:t>
          </a:r>
          <a:r>
            <a:rPr lang="en-US" sz="1100" b="0" i="0" baseline="0">
              <a:solidFill>
                <a:schemeClr val="dk1"/>
              </a:solidFill>
              <a:effectLst/>
              <a:latin typeface="+mn-lt"/>
              <a:ea typeface="+mn-ea"/>
              <a:cs typeface="+mn-cs"/>
            </a:rPr>
            <a:t> Dallas Lock</a:t>
          </a:r>
          <a:r>
            <a:rPr lang="ru-RU" sz="1100" b="0" i="0">
              <a:solidFill>
                <a:schemeClr val="dk1"/>
              </a:solidFill>
              <a:effectLst/>
              <a:latin typeface="+mn-lt"/>
              <a:ea typeface="+mn-ea"/>
              <a:cs typeface="+mn-cs"/>
            </a:rPr>
            <a:t> предназначена для защиты среды виртуализации на базе технологий </a:t>
          </a:r>
          <a:r>
            <a:rPr lang="en-US" sz="1100" b="0" i="0">
              <a:solidFill>
                <a:schemeClr val="dk1"/>
              </a:solidFill>
              <a:effectLst/>
              <a:latin typeface="+mn-lt"/>
              <a:ea typeface="+mn-ea"/>
              <a:cs typeface="+mn-cs"/>
            </a:rPr>
            <a:t>VMware vSphere, </a:t>
          </a:r>
          <a:r>
            <a:rPr lang="ru-RU" sz="1100" b="0" i="0">
              <a:solidFill>
                <a:schemeClr val="dk1"/>
              </a:solidFill>
              <a:effectLst/>
              <a:latin typeface="+mn-lt"/>
              <a:ea typeface="+mn-ea"/>
              <a:cs typeface="+mn-cs"/>
            </a:rPr>
            <a:t>систем управления виртуализацией на базе </a:t>
          </a:r>
          <a:r>
            <a:rPr lang="en-US" sz="1100" b="0" i="0">
              <a:solidFill>
                <a:schemeClr val="dk1"/>
              </a:solidFill>
              <a:effectLst/>
              <a:latin typeface="+mn-lt"/>
              <a:ea typeface="+mn-ea"/>
              <a:cs typeface="+mn-cs"/>
            </a:rPr>
            <a:t>oVirt (zVirt, </a:t>
          </a:r>
          <a:r>
            <a:rPr lang="ru-RU" sz="1100" b="0" i="0">
              <a:solidFill>
                <a:schemeClr val="dk1"/>
              </a:solidFill>
              <a:effectLst/>
              <a:latin typeface="+mn-lt"/>
              <a:ea typeface="+mn-ea"/>
              <a:cs typeface="+mn-cs"/>
            </a:rPr>
            <a:t>РЕД Виртуализация , </a:t>
          </a:r>
          <a:r>
            <a:rPr lang="en-US" sz="1100" b="0" i="0">
              <a:solidFill>
                <a:schemeClr val="dk1"/>
              </a:solidFill>
              <a:effectLst/>
              <a:latin typeface="+mn-lt"/>
              <a:ea typeface="+mn-ea"/>
              <a:cs typeface="+mn-cs"/>
            </a:rPr>
            <a:t>HOSTVM) </a:t>
          </a:r>
          <a:r>
            <a:rPr lang="ru-RU" sz="1100" b="0" i="0">
              <a:solidFill>
                <a:schemeClr val="dk1"/>
              </a:solidFill>
              <a:effectLst/>
              <a:latin typeface="+mn-lt"/>
              <a:ea typeface="+mn-ea"/>
              <a:cs typeface="+mn-cs"/>
            </a:rPr>
            <a:t>и гипервизоров </a:t>
          </a:r>
          <a:r>
            <a:rPr lang="en-US" sz="1100" b="0" i="0">
              <a:solidFill>
                <a:schemeClr val="dk1"/>
              </a:solidFill>
              <a:effectLst/>
              <a:latin typeface="+mn-lt"/>
              <a:ea typeface="+mn-ea"/>
              <a:cs typeface="+mn-cs"/>
            </a:rPr>
            <a:t>KVM.</a:t>
          </a:r>
          <a:r>
            <a:rPr lang="ru-RU" sz="1100" b="0" i="0">
              <a:solidFill>
                <a:schemeClr val="dk1"/>
              </a:solidFill>
              <a:effectLst/>
              <a:latin typeface="+mn-lt"/>
              <a:ea typeface="+mn-ea"/>
              <a:cs typeface="+mn-cs"/>
            </a:rPr>
            <a:t> </a:t>
          </a:r>
          <a:r>
            <a:rPr lang="ru-RU" sz="1100" b="1" i="0">
              <a:solidFill>
                <a:schemeClr val="dk1"/>
              </a:solidFill>
              <a:effectLst/>
              <a:latin typeface="+mn-lt"/>
              <a:ea typeface="+mn-ea"/>
              <a:cs typeface="+mn-cs"/>
            </a:rPr>
            <a:t>Сертификат ФСТЭК России № 3837</a:t>
          </a:r>
          <a:r>
            <a:rPr lang="ru-RU" sz="1100" b="0" i="0">
              <a:solidFill>
                <a:schemeClr val="dk1"/>
              </a:solidFill>
              <a:effectLst/>
              <a:latin typeface="+mn-lt"/>
              <a:ea typeface="+mn-ea"/>
              <a:cs typeface="+mn-cs"/>
            </a:rPr>
            <a:t> от 18</a:t>
          </a:r>
          <a:r>
            <a:rPr lang="en-US" sz="1100" b="0" i="0" baseline="0">
              <a:solidFill>
                <a:schemeClr val="dk1"/>
              </a:solidFill>
              <a:effectLst/>
              <a:latin typeface="+mn-lt"/>
              <a:ea typeface="+mn-ea"/>
              <a:cs typeface="+mn-cs"/>
            </a:rPr>
            <a:t> </a:t>
          </a:r>
          <a:r>
            <a:rPr lang="ru-RU" sz="1100" b="0" i="0" baseline="0">
              <a:solidFill>
                <a:schemeClr val="dk1"/>
              </a:solidFill>
              <a:effectLst/>
              <a:latin typeface="+mn-lt"/>
              <a:ea typeface="+mn-ea"/>
              <a:cs typeface="+mn-cs"/>
            </a:rPr>
            <a:t>декабря</a:t>
          </a:r>
          <a:r>
            <a:rPr lang="ru-RU" sz="1100" b="0" i="0">
              <a:solidFill>
                <a:schemeClr val="dk1"/>
              </a:solidFill>
              <a:effectLst/>
              <a:latin typeface="+mn-lt"/>
              <a:ea typeface="+mn-ea"/>
              <a:cs typeface="+mn-cs"/>
            </a:rPr>
            <a:t> 2017 г.</a:t>
          </a:r>
          <a:endParaRPr lang="ru-RU" sz="1100" b="0" i="0" u="none" strike="noStrike" baseline="0">
            <a:solidFill>
              <a:schemeClr val="dk1"/>
            </a:solidFill>
            <a:effectLst/>
            <a:latin typeface="+mn-lt"/>
            <a:ea typeface="+mn-ea"/>
            <a:cs typeface="+mn-cs"/>
          </a:endParaRPr>
        </a:p>
        <a:p>
          <a:pPr algn="just"/>
          <a:endParaRPr lang="ru-RU" sz="1100" b="0" i="0" u="none" strike="noStrike" baseline="0">
            <a:solidFill>
              <a:schemeClr val="dk1"/>
            </a:solidFill>
            <a:latin typeface="+mn-lt"/>
            <a:ea typeface="+mn-ea"/>
            <a:cs typeface="Arial" panose="020B0604020202020204" pitchFamily="34" charset="0"/>
          </a:endParaRPr>
        </a:p>
      </xdr:txBody>
    </xdr:sp>
    <xdr:clientData/>
  </xdr:twoCellAnchor>
  <xdr:twoCellAnchor>
    <xdr:from>
      <xdr:col>1</xdr:col>
      <xdr:colOff>9525</xdr:colOff>
      <xdr:row>0</xdr:row>
      <xdr:rowOff>0</xdr:rowOff>
    </xdr:from>
    <xdr:to>
      <xdr:col>1</xdr:col>
      <xdr:colOff>409575</xdr:colOff>
      <xdr:row>0</xdr:row>
      <xdr:rowOff>504825</xdr:rowOff>
    </xdr:to>
    <xdr:grpSp>
      <xdr:nvGrpSpPr>
        <xdr:cNvPr id="27" name="Группа 26">
          <a:extLst>
            <a:ext uri="{FF2B5EF4-FFF2-40B4-BE49-F238E27FC236}">
              <a16:creationId xmlns:a16="http://schemas.microsoft.com/office/drawing/2014/main" xmlns="" id="{00000000-0008-0000-0D00-00001B000000}"/>
            </a:ext>
          </a:extLst>
        </xdr:cNvPr>
        <xdr:cNvGrpSpPr/>
      </xdr:nvGrpSpPr>
      <xdr:grpSpPr>
        <a:xfrm>
          <a:off x="190500" y="0"/>
          <a:ext cx="400050" cy="504825"/>
          <a:chOff x="1493451" y="1609581"/>
          <a:chExt cx="655273" cy="783758"/>
        </a:xfrm>
      </xdr:grpSpPr>
      <xdr:sp macro="" textlink="">
        <xdr:nvSpPr>
          <xdr:cNvPr id="28" name="Прямоугольник 27">
            <a:extLst>
              <a:ext uri="{FF2B5EF4-FFF2-40B4-BE49-F238E27FC236}">
                <a16:creationId xmlns:a16="http://schemas.microsoft.com/office/drawing/2014/main" xmlns="" id="{00000000-0008-0000-0D00-00001C000000}"/>
              </a:ext>
            </a:extLst>
          </xdr:cNvPr>
          <xdr:cNvSpPr/>
        </xdr:nvSpPr>
        <xdr:spPr>
          <a:xfrm>
            <a:off x="1574297" y="1706935"/>
            <a:ext cx="494199" cy="459216"/>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ru-RU"/>
            </a:defPPr>
            <a:lvl1pPr marL="0" algn="l" defTabSz="1727699" rtl="0" eaLnBrk="1" latinLnBrk="0" hangingPunct="1">
              <a:defRPr sz="3400" kern="1200">
                <a:solidFill>
                  <a:schemeClr val="lt1"/>
                </a:solidFill>
                <a:latin typeface="+mn-lt"/>
                <a:ea typeface="+mn-ea"/>
                <a:cs typeface="+mn-cs"/>
              </a:defRPr>
            </a:lvl1pPr>
            <a:lvl2pPr marL="863849" algn="l" defTabSz="1727699" rtl="0" eaLnBrk="1" latinLnBrk="0" hangingPunct="1">
              <a:defRPr sz="3400" kern="1200">
                <a:solidFill>
                  <a:schemeClr val="lt1"/>
                </a:solidFill>
                <a:latin typeface="+mn-lt"/>
                <a:ea typeface="+mn-ea"/>
                <a:cs typeface="+mn-cs"/>
              </a:defRPr>
            </a:lvl2pPr>
            <a:lvl3pPr marL="1727699" algn="l" defTabSz="1727699" rtl="0" eaLnBrk="1" latinLnBrk="0" hangingPunct="1">
              <a:defRPr sz="3400" kern="1200">
                <a:solidFill>
                  <a:schemeClr val="lt1"/>
                </a:solidFill>
                <a:latin typeface="+mn-lt"/>
                <a:ea typeface="+mn-ea"/>
                <a:cs typeface="+mn-cs"/>
              </a:defRPr>
            </a:lvl3pPr>
            <a:lvl4pPr marL="2591548" algn="l" defTabSz="1727699" rtl="0" eaLnBrk="1" latinLnBrk="0" hangingPunct="1">
              <a:defRPr sz="3400" kern="1200">
                <a:solidFill>
                  <a:schemeClr val="lt1"/>
                </a:solidFill>
                <a:latin typeface="+mn-lt"/>
                <a:ea typeface="+mn-ea"/>
                <a:cs typeface="+mn-cs"/>
              </a:defRPr>
            </a:lvl4pPr>
            <a:lvl5pPr marL="3455397" algn="l" defTabSz="1727699" rtl="0" eaLnBrk="1" latinLnBrk="0" hangingPunct="1">
              <a:defRPr sz="3400" kern="1200">
                <a:solidFill>
                  <a:schemeClr val="lt1"/>
                </a:solidFill>
                <a:latin typeface="+mn-lt"/>
                <a:ea typeface="+mn-ea"/>
                <a:cs typeface="+mn-cs"/>
              </a:defRPr>
            </a:lvl5pPr>
            <a:lvl6pPr marL="4319249" algn="l" defTabSz="1727699" rtl="0" eaLnBrk="1" latinLnBrk="0" hangingPunct="1">
              <a:defRPr sz="3400" kern="1200">
                <a:solidFill>
                  <a:schemeClr val="lt1"/>
                </a:solidFill>
                <a:latin typeface="+mn-lt"/>
                <a:ea typeface="+mn-ea"/>
                <a:cs typeface="+mn-cs"/>
              </a:defRPr>
            </a:lvl6pPr>
            <a:lvl7pPr marL="5183098" algn="l" defTabSz="1727699" rtl="0" eaLnBrk="1" latinLnBrk="0" hangingPunct="1">
              <a:defRPr sz="3400" kern="1200">
                <a:solidFill>
                  <a:schemeClr val="lt1"/>
                </a:solidFill>
                <a:latin typeface="+mn-lt"/>
                <a:ea typeface="+mn-ea"/>
                <a:cs typeface="+mn-cs"/>
              </a:defRPr>
            </a:lvl7pPr>
            <a:lvl8pPr marL="6046950" algn="l" defTabSz="1727699" rtl="0" eaLnBrk="1" latinLnBrk="0" hangingPunct="1">
              <a:defRPr sz="3400" kern="1200">
                <a:solidFill>
                  <a:schemeClr val="lt1"/>
                </a:solidFill>
                <a:latin typeface="+mn-lt"/>
                <a:ea typeface="+mn-ea"/>
                <a:cs typeface="+mn-cs"/>
              </a:defRPr>
            </a:lvl8pPr>
            <a:lvl9pPr marL="6910799" algn="l" defTabSz="1727699" rtl="0" eaLnBrk="1" latinLnBrk="0" hangingPunct="1">
              <a:defRPr sz="3400" kern="1200">
                <a:solidFill>
                  <a:schemeClr val="lt1"/>
                </a:solidFill>
                <a:latin typeface="+mn-lt"/>
                <a:ea typeface="+mn-ea"/>
                <a:cs typeface="+mn-cs"/>
              </a:defRPr>
            </a:lvl9pPr>
          </a:lstStyle>
          <a:p>
            <a:pPr algn="ctr"/>
            <a:endParaRPr lang="ru-RU"/>
          </a:p>
        </xdr:txBody>
      </xdr:sp>
      <xdr:pic>
        <xdr:nvPicPr>
          <xdr:cNvPr id="29" name="Picture 2">
            <a:extLst>
              <a:ext uri="{FF2B5EF4-FFF2-40B4-BE49-F238E27FC236}">
                <a16:creationId xmlns:a16="http://schemas.microsoft.com/office/drawing/2014/main" xmlns="" id="{00000000-0008-0000-0D00-00001D000000}"/>
              </a:ext>
            </a:extLst>
          </xdr:cNvPr>
          <xdr:cNvPicPr>
            <a:picLocks noChangeAspect="1" noChangeArrowheads="1"/>
          </xdr:cNvPicPr>
        </xdr:nvPicPr>
        <xdr:blipFill>
          <a:blip xmlns:r="http://schemas.openxmlformats.org/officeDocument/2006/relationships" r:embed="rId11">
            <a:clrChange>
              <a:clrFrom>
                <a:srgbClr val="FFFFFF"/>
              </a:clrFrom>
              <a:clrTo>
                <a:srgbClr val="FFFFFF">
                  <a:alpha val="0"/>
                </a:srgbClr>
              </a:clrTo>
            </a:clrChange>
            <a:extLst>
              <a:ext uri="{28A0092B-C50C-407E-A947-70E740481C1C}">
                <a14:useLocalDpi xmlns:a14="http://schemas.microsoft.com/office/drawing/2010/main"/>
              </a:ext>
            </a:extLst>
          </a:blip>
          <a:srcRect/>
          <a:stretch>
            <a:fillRect/>
          </a:stretch>
        </xdr:blipFill>
        <xdr:spPr bwMode="auto">
          <a:xfrm>
            <a:off x="1493451" y="1609581"/>
            <a:ext cx="655273" cy="783758"/>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grpSp>
    <xdr:clientData/>
  </xdr:twoCellAnchor>
  <xdr:oneCellAnchor>
    <xdr:from>
      <xdr:col>1</xdr:col>
      <xdr:colOff>9526</xdr:colOff>
      <xdr:row>5</xdr:row>
      <xdr:rowOff>0</xdr:rowOff>
    </xdr:from>
    <xdr:ext cx="427346" cy="528624"/>
    <xdr:pic>
      <xdr:nvPicPr>
        <xdr:cNvPr id="30" name="Picture 4">
          <a:extLst>
            <a:ext uri="{FF2B5EF4-FFF2-40B4-BE49-F238E27FC236}">
              <a16:creationId xmlns:a16="http://schemas.microsoft.com/office/drawing/2014/main" xmlns="" id="{00000000-0008-0000-0D00-00001E000000}"/>
            </a:ext>
          </a:extLst>
        </xdr:cNvPr>
        <xdr:cNvPicPr>
          <a:picLocks noChangeAspect="1" noChangeArrowheads="1"/>
        </xdr:cNvPicPr>
      </xdr:nvPicPr>
      <xdr:blipFill>
        <a:blip xmlns:r="http://schemas.openxmlformats.org/officeDocument/2006/relationships" r:embed="rId12">
          <a:extLst>
            <a:ext uri="{BEBA8EAE-BF5A-486C-A8C5-ECC9F3942E4B}">
              <a14:imgProps xmlns:a14="http://schemas.microsoft.com/office/drawing/2010/main">
                <a14:imgLayer r:embed="rId13">
                  <a14:imgEffect>
                    <a14:backgroundRemoval t="9677" b="92742" l="9804" r="89216">
                      <a14:foregroundMark x1="45098" y1="14516" x2="79412" y2="27419"/>
                      <a14:foregroundMark x1="79412" y1="27419" x2="82353" y2="58871"/>
                      <a14:foregroundMark x1="50980" y1="85484" x2="51961" y2="92742"/>
                    </a14:backgroundRemoval>
                  </a14:imgEffect>
                </a14:imgLayer>
              </a14:imgProps>
            </a:ext>
            <a:ext uri="{28A0092B-C50C-407E-A947-70E740481C1C}">
              <a14:useLocalDpi xmlns:a14="http://schemas.microsoft.com/office/drawing/2010/main"/>
            </a:ext>
          </a:extLst>
        </a:blip>
        <a:srcRect/>
        <a:stretch>
          <a:fillRect/>
        </a:stretch>
      </xdr:blipFill>
      <xdr:spPr bwMode="auto">
        <a:xfrm>
          <a:off x="619126" y="952500"/>
          <a:ext cx="427346" cy="528624"/>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oneCellAnchor>
  <xdr:oneCellAnchor>
    <xdr:from>
      <xdr:col>1</xdr:col>
      <xdr:colOff>85726</xdr:colOff>
      <xdr:row>6</xdr:row>
      <xdr:rowOff>742950</xdr:rowOff>
    </xdr:from>
    <xdr:ext cx="1620360" cy="1152474"/>
    <xdr:pic>
      <xdr:nvPicPr>
        <xdr:cNvPr id="32" name="Picture 2" descr="C:\Users\osv\AppData\Local\Microsoft\Windows\Temporary Internet Files\Content.Outlook\R07RQ4FK\АМДЗ.jpg">
          <a:extLst>
            <a:ext uri="{FF2B5EF4-FFF2-40B4-BE49-F238E27FC236}">
              <a16:creationId xmlns:a16="http://schemas.microsoft.com/office/drawing/2014/main" xmlns="" id="{00000000-0008-0000-0D00-000020000000}"/>
            </a:ext>
          </a:extLst>
        </xdr:cNvPr>
        <xdr:cNvPicPr>
          <a:picLocks noChangeAspect="1" noChangeArrowheads="1"/>
        </xdr:cNvPicPr>
      </xdr:nvPicPr>
      <xdr:blipFill>
        <a:blip xmlns:r="http://schemas.openxmlformats.org/officeDocument/2006/relationships" r:embed="rId14" cstate="print">
          <a:clrChange>
            <a:clrFrom>
              <a:srgbClr val="FFFFFF"/>
            </a:clrFrom>
            <a:clrTo>
              <a:srgbClr val="FFFFFF">
                <a:alpha val="0"/>
              </a:srgbClr>
            </a:clrTo>
          </a:clrChange>
          <a:extLst>
            <a:ext uri="{28A0092B-C50C-407E-A947-70E740481C1C}">
              <a14:useLocalDpi xmlns:a14="http://schemas.microsoft.com/office/drawing/2010/main"/>
            </a:ext>
          </a:extLst>
        </a:blip>
        <a:srcRect/>
        <a:stretch>
          <a:fillRect/>
        </a:stretch>
      </xdr:blipFill>
      <xdr:spPr bwMode="auto">
        <a:xfrm>
          <a:off x="695326" y="1333500"/>
          <a:ext cx="1620360" cy="115247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66675</xdr:colOff>
      <xdr:row>6</xdr:row>
      <xdr:rowOff>66676</xdr:rowOff>
    </xdr:from>
    <xdr:to>
      <xdr:col>16</xdr:col>
      <xdr:colOff>469900</xdr:colOff>
      <xdr:row>6</xdr:row>
      <xdr:rowOff>923926</xdr:rowOff>
    </xdr:to>
    <xdr:sp macro="" textlink="">
      <xdr:nvSpPr>
        <xdr:cNvPr id="33" name="TextBox 32">
          <a:extLst>
            <a:ext uri="{FF2B5EF4-FFF2-40B4-BE49-F238E27FC236}">
              <a16:creationId xmlns:a16="http://schemas.microsoft.com/office/drawing/2014/main" xmlns="" id="{00000000-0008-0000-0D00-000021000000}"/>
            </a:ext>
          </a:extLst>
        </xdr:cNvPr>
        <xdr:cNvSpPr txBox="1"/>
      </xdr:nvSpPr>
      <xdr:spPr>
        <a:xfrm>
          <a:off x="244475" y="6264276"/>
          <a:ext cx="11426825" cy="8572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ru-RU"/>
            <a:t>СДЗ </a:t>
          </a:r>
          <a:r>
            <a:rPr lang="en-US"/>
            <a:t>Dallas Lock</a:t>
          </a:r>
          <a:r>
            <a:rPr lang="ru-RU" baseline="0"/>
            <a:t> </a:t>
          </a:r>
          <a:r>
            <a:rPr lang="ru-RU"/>
            <a:t>выпускается в трех вариантах. Решения </a:t>
          </a:r>
          <a:r>
            <a:rPr lang="ru-RU" sz="1100">
              <a:solidFill>
                <a:schemeClr val="dk1"/>
              </a:solidFill>
              <a:effectLst/>
              <a:latin typeface="+mn-lt"/>
              <a:ea typeface="+mn-ea"/>
              <a:cs typeface="+mn-cs"/>
            </a:rPr>
            <a:t>блокируют попытки несанкционированной загрузки нештатной операционной системы и </a:t>
          </a:r>
          <a:r>
            <a:rPr lang="ru-RU"/>
            <a:t>предназначены для защиты информации, содержащей сведения, составляющие государственную тайну до уровня «совершенно секретно» включительно, и иной информации с ограниченным доступом.</a:t>
          </a:r>
          <a:r>
            <a:rPr lang="en-US"/>
            <a:t> </a:t>
          </a:r>
          <a:endParaRPr lang="ru-RU" sz="1100" b="0" i="0" baseline="0">
            <a:solidFill>
              <a:schemeClr val="dk1"/>
            </a:solidFill>
            <a:effectLst/>
            <a:latin typeface="+mn-lt"/>
            <a:ea typeface="+mn-ea"/>
            <a:cs typeface="+mn-cs"/>
          </a:endParaRPr>
        </a:p>
        <a:p>
          <a:pPr eaLnBrk="1" fontAlgn="auto" latinLnBrk="0" hangingPunct="1"/>
          <a:endParaRPr lang="ru-RU">
            <a:effectLst/>
          </a:endParaRPr>
        </a:p>
      </xdr:txBody>
    </xdr:sp>
    <xdr:clientData/>
  </xdr:twoCellAnchor>
  <xdr:twoCellAnchor>
    <xdr:from>
      <xdr:col>1</xdr:col>
      <xdr:colOff>1666876</xdr:colOff>
      <xdr:row>6</xdr:row>
      <xdr:rowOff>838199</xdr:rowOff>
    </xdr:from>
    <xdr:to>
      <xdr:col>7</xdr:col>
      <xdr:colOff>28576</xdr:colOff>
      <xdr:row>6</xdr:row>
      <xdr:rowOff>2299607</xdr:rowOff>
    </xdr:to>
    <xdr:sp macro="" textlink="">
      <xdr:nvSpPr>
        <xdr:cNvPr id="34" name="TextBox 33">
          <a:extLst>
            <a:ext uri="{FF2B5EF4-FFF2-40B4-BE49-F238E27FC236}">
              <a16:creationId xmlns:a16="http://schemas.microsoft.com/office/drawing/2014/main" xmlns="" id="{00000000-0008-0000-0D00-000022000000}"/>
            </a:ext>
          </a:extLst>
        </xdr:cNvPr>
        <xdr:cNvSpPr txBox="1"/>
      </xdr:nvSpPr>
      <xdr:spPr>
        <a:xfrm>
          <a:off x="1219201" y="1333499"/>
          <a:ext cx="3076575" cy="40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ru-RU" sz="1100" b="1">
              <a:solidFill>
                <a:schemeClr val="dk1"/>
              </a:solidFill>
              <a:effectLst/>
              <a:latin typeface="+mn-lt"/>
              <a:ea typeface="+mn-ea"/>
              <a:cs typeface="+mn-cs"/>
            </a:rPr>
            <a:t>Решение уровня платы расширения (</a:t>
          </a:r>
          <a:r>
            <a:rPr lang="ru-RU" sz="1100" b="0" i="0">
              <a:solidFill>
                <a:schemeClr val="dk1"/>
              </a:solidFill>
              <a:effectLst/>
              <a:latin typeface="+mn-lt"/>
              <a:ea typeface="+mn-ea"/>
              <a:cs typeface="+mn-cs"/>
            </a:rPr>
            <a:t>ИТ.СДЗ.ПР2.ПЗ</a:t>
          </a:r>
          <a:r>
            <a:rPr lang="ru-RU" sz="1100" b="1">
              <a:solidFill>
                <a:schemeClr val="dk1"/>
              </a:solidFill>
              <a:effectLst/>
              <a:latin typeface="+mn-lt"/>
              <a:ea typeface="+mn-ea"/>
              <a:cs typeface="+mn-cs"/>
            </a:rPr>
            <a:t>)</a:t>
          </a:r>
        </a:p>
        <a:p>
          <a:pPr marL="0" marR="0" lvl="0" indent="0" defTabSz="914400" rtl="0" eaLnBrk="1" fontAlgn="auto" latinLnBrk="0" hangingPunct="1">
            <a:lnSpc>
              <a:spcPct val="100000"/>
            </a:lnSpc>
            <a:spcBef>
              <a:spcPts val="0"/>
            </a:spcBef>
            <a:spcAft>
              <a:spcPts val="0"/>
            </a:spcAft>
            <a:buClrTx/>
            <a:buSzTx/>
            <a:buFontTx/>
            <a:buNone/>
            <a:tabLst/>
            <a:defRPr/>
          </a:pPr>
          <a:r>
            <a:rPr lang="ru-RU" sz="1100" b="0">
              <a:solidFill>
                <a:schemeClr val="dk1"/>
              </a:solidFill>
              <a:effectLst/>
              <a:latin typeface="+mn-lt"/>
              <a:ea typeface="+mn-ea"/>
              <a:cs typeface="+mn-cs"/>
            </a:rPr>
            <a:t>имеет 3</a:t>
          </a:r>
          <a:r>
            <a:rPr lang="ru-RU" sz="1100" b="0" baseline="0">
              <a:solidFill>
                <a:schemeClr val="dk1"/>
              </a:solidFill>
              <a:effectLst/>
              <a:latin typeface="+mn-lt"/>
              <a:ea typeface="+mn-ea"/>
              <a:cs typeface="+mn-cs"/>
            </a:rPr>
            <a:t> форм-фактора для удобной интеграции в различные модели АРМ</a:t>
          </a:r>
          <a:endParaRPr lang="ru-RU" b="0">
            <a:effectLst/>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a:solidFill>
                <a:schemeClr val="dk1"/>
              </a:solidFill>
              <a:effectLst/>
              <a:latin typeface="+mn-lt"/>
              <a:ea typeface="+mn-ea"/>
              <a:cs typeface="+mn-cs"/>
            </a:rPr>
            <a:t>PCI Express</a:t>
          </a:r>
          <a:endParaRPr lang="ru-RU" sz="1100" b="0" i="0">
            <a:solidFill>
              <a:schemeClr val="dk1"/>
            </a:solidFill>
            <a:effectLst/>
            <a:latin typeface="+mn-lt"/>
            <a:ea typeface="+mn-ea"/>
            <a:cs typeface="+mn-cs"/>
          </a:endParaRPr>
        </a:p>
        <a:p>
          <a:pPr marL="171450" indent="-171450" fontAlgn="b">
            <a:buFont typeface="Arial" panose="020B0604020202020204" pitchFamily="34" charset="0"/>
            <a:buChar char="•"/>
          </a:pPr>
          <a:r>
            <a:rPr lang="en-US" sz="1100" b="0" i="0">
              <a:solidFill>
                <a:schemeClr val="dk1"/>
              </a:solidFill>
              <a:effectLst/>
              <a:latin typeface="+mn-lt"/>
              <a:ea typeface="+mn-ea"/>
              <a:cs typeface="+mn-cs"/>
            </a:rPr>
            <a:t>Mini PCI Express</a:t>
          </a:r>
        </a:p>
        <a:p>
          <a:pPr marL="171450" indent="-171450" fontAlgn="b">
            <a:buFont typeface="Arial" panose="020B0604020202020204" pitchFamily="34" charset="0"/>
            <a:buChar char="•"/>
          </a:pPr>
          <a:r>
            <a:rPr lang="en-US" sz="1100" b="0" i="0">
              <a:solidFill>
                <a:schemeClr val="dk1"/>
              </a:solidFill>
              <a:effectLst/>
              <a:latin typeface="+mn-lt"/>
              <a:ea typeface="+mn-ea"/>
              <a:cs typeface="+mn-cs"/>
            </a:rPr>
            <a:t>M2</a:t>
          </a:r>
        </a:p>
        <a:p>
          <a:pPr marL="0" marR="0" lvl="0" indent="0" defTabSz="914400" rtl="0" eaLnBrk="1" fontAlgn="auto" latinLnBrk="0" hangingPunct="1">
            <a:lnSpc>
              <a:spcPct val="100000"/>
            </a:lnSpc>
            <a:spcBef>
              <a:spcPts val="0"/>
            </a:spcBef>
            <a:spcAft>
              <a:spcPts val="0"/>
            </a:spcAft>
            <a:buClrTx/>
            <a:buSzTx/>
            <a:buFontTx/>
            <a:buNone/>
            <a:tabLst/>
            <a:defRPr/>
          </a:pPr>
          <a:r>
            <a:rPr lang="ru-RU" sz="1100" b="1" i="0">
              <a:solidFill>
                <a:schemeClr val="dk1"/>
              </a:solidFill>
              <a:effectLst/>
              <a:latin typeface="+mn-lt"/>
              <a:ea typeface="+mn-ea"/>
              <a:cs typeface="+mn-cs"/>
            </a:rPr>
            <a:t>Сертификат ФСТЭК России № 3666</a:t>
          </a:r>
          <a:r>
            <a:rPr lang="ru-RU" sz="1100" b="0" i="0">
              <a:solidFill>
                <a:schemeClr val="dk1"/>
              </a:solidFill>
              <a:effectLst/>
              <a:latin typeface="+mn-lt"/>
              <a:ea typeface="+mn-ea"/>
              <a:cs typeface="+mn-cs"/>
            </a:rPr>
            <a:t> от </a:t>
          </a:r>
          <a:r>
            <a:rPr lang="en-US" sz="1100" b="0" i="0">
              <a:solidFill>
                <a:schemeClr val="dk1"/>
              </a:solidFill>
              <a:effectLst/>
              <a:latin typeface="+mn-lt"/>
              <a:ea typeface="+mn-ea"/>
              <a:cs typeface="+mn-cs"/>
            </a:rPr>
            <a:t>25</a:t>
          </a:r>
          <a:r>
            <a:rPr lang="en-US" sz="1100" b="0" i="0" baseline="0">
              <a:solidFill>
                <a:schemeClr val="dk1"/>
              </a:solidFill>
              <a:effectLst/>
              <a:latin typeface="+mn-lt"/>
              <a:ea typeface="+mn-ea"/>
              <a:cs typeface="+mn-cs"/>
            </a:rPr>
            <a:t> </a:t>
          </a:r>
          <a:r>
            <a:rPr lang="ru-RU" sz="1100" b="0" i="0" baseline="0">
              <a:solidFill>
                <a:schemeClr val="dk1"/>
              </a:solidFill>
              <a:effectLst/>
              <a:latin typeface="+mn-lt"/>
              <a:ea typeface="+mn-ea"/>
              <a:cs typeface="+mn-cs"/>
            </a:rPr>
            <a:t>ноября</a:t>
          </a:r>
          <a:r>
            <a:rPr lang="ru-RU" sz="1100" b="0" i="0">
              <a:solidFill>
                <a:schemeClr val="dk1"/>
              </a:solidFill>
              <a:effectLst/>
              <a:latin typeface="+mn-lt"/>
              <a:ea typeface="+mn-ea"/>
              <a:cs typeface="+mn-cs"/>
            </a:rPr>
            <a:t> 2016 г.</a:t>
          </a:r>
          <a:br>
            <a:rPr lang="ru-RU" sz="1100" b="0" i="0">
              <a:solidFill>
                <a:schemeClr val="dk1"/>
              </a:solidFill>
              <a:effectLst/>
              <a:latin typeface="+mn-lt"/>
              <a:ea typeface="+mn-ea"/>
              <a:cs typeface="+mn-cs"/>
            </a:rPr>
          </a:br>
          <a:r>
            <a:rPr lang="ru-RU" sz="1100" b="1" i="0">
              <a:solidFill>
                <a:schemeClr val="dk1"/>
              </a:solidFill>
              <a:effectLst/>
              <a:latin typeface="+mn-lt"/>
              <a:ea typeface="+mn-ea"/>
              <a:cs typeface="+mn-cs"/>
            </a:rPr>
            <a:t>Сертификат МО России № 5695</a:t>
          </a:r>
          <a:r>
            <a:rPr lang="ru-RU" sz="1100" b="0" i="0">
              <a:solidFill>
                <a:schemeClr val="dk1"/>
              </a:solidFill>
              <a:effectLst/>
              <a:latin typeface="+mn-lt"/>
              <a:ea typeface="+mn-ea"/>
              <a:cs typeface="+mn-cs"/>
            </a:rPr>
            <a:t> от 31</a:t>
          </a:r>
          <a:r>
            <a:rPr lang="en-US" sz="1100" b="0" i="0" baseline="0">
              <a:solidFill>
                <a:schemeClr val="dk1"/>
              </a:solidFill>
              <a:effectLst/>
              <a:latin typeface="+mn-lt"/>
              <a:ea typeface="+mn-ea"/>
              <a:cs typeface="+mn-cs"/>
            </a:rPr>
            <a:t> </a:t>
          </a:r>
          <a:r>
            <a:rPr lang="ru-RU" sz="1100" b="0" i="0" baseline="0">
              <a:solidFill>
                <a:schemeClr val="dk1"/>
              </a:solidFill>
              <a:effectLst/>
              <a:latin typeface="+mn-lt"/>
              <a:ea typeface="+mn-ea"/>
              <a:cs typeface="+mn-cs"/>
            </a:rPr>
            <a:t>марта</a:t>
          </a:r>
          <a:r>
            <a:rPr lang="ru-RU" sz="1100" b="0" i="0">
              <a:solidFill>
                <a:schemeClr val="dk1"/>
              </a:solidFill>
              <a:effectLst/>
              <a:latin typeface="+mn-lt"/>
              <a:ea typeface="+mn-ea"/>
              <a:cs typeface="+mn-cs"/>
            </a:rPr>
            <a:t> 2022 г.</a:t>
          </a:r>
          <a:endParaRPr lang="ru-RU">
            <a:effectLst/>
          </a:endParaRPr>
        </a:p>
        <a:p>
          <a:pPr marL="0" marR="0" lvl="0" indent="0" defTabSz="914400" rtl="0" eaLnBrk="1" fontAlgn="auto" latinLnBrk="0" hangingPunct="1">
            <a:lnSpc>
              <a:spcPct val="100000"/>
            </a:lnSpc>
            <a:spcBef>
              <a:spcPts val="0"/>
            </a:spcBef>
            <a:spcAft>
              <a:spcPts val="0"/>
            </a:spcAft>
            <a:buClrTx/>
            <a:buSzTx/>
            <a:buFontTx/>
            <a:buNone/>
            <a:tabLst/>
            <a:defRPr/>
          </a:pPr>
          <a:r>
            <a:rPr lang="ru-RU" sz="1100" b="0" i="0" cap="all">
              <a:solidFill>
                <a:schemeClr val="dk1"/>
              </a:solidFill>
              <a:effectLst/>
              <a:latin typeface="+mn-lt"/>
              <a:ea typeface="+mn-ea"/>
              <a:cs typeface="+mn-cs"/>
            </a:rPr>
            <a:t/>
          </a:r>
          <a:br>
            <a:rPr lang="ru-RU" sz="1100" b="0" i="0" cap="all">
              <a:solidFill>
                <a:schemeClr val="dk1"/>
              </a:solidFill>
              <a:effectLst/>
              <a:latin typeface="+mn-lt"/>
              <a:ea typeface="+mn-ea"/>
              <a:cs typeface="+mn-cs"/>
            </a:rPr>
          </a:br>
          <a:endParaRPr lang="ru-RU">
            <a:effectLst/>
          </a:endParaRPr>
        </a:p>
      </xdr:txBody>
    </xdr:sp>
    <xdr:clientData/>
  </xdr:twoCellAnchor>
  <xdr:oneCellAnchor>
    <xdr:from>
      <xdr:col>1</xdr:col>
      <xdr:colOff>47625</xdr:colOff>
      <xdr:row>8</xdr:row>
      <xdr:rowOff>28574</xdr:rowOff>
    </xdr:from>
    <xdr:ext cx="342900" cy="466726"/>
    <xdr:pic>
      <xdr:nvPicPr>
        <xdr:cNvPr id="36" name="Рисунок 35">
          <a:extLst>
            <a:ext uri="{FF2B5EF4-FFF2-40B4-BE49-F238E27FC236}">
              <a16:creationId xmlns:a16="http://schemas.microsoft.com/office/drawing/2014/main" xmlns="" id="{00000000-0008-0000-0D00-000024000000}"/>
            </a:ext>
          </a:extLst>
        </xdr:cNvPr>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657225" y="1552574"/>
          <a:ext cx="342900" cy="466726"/>
        </a:xfrm>
        <a:prstGeom prst="rect">
          <a:avLst/>
        </a:prstGeom>
      </xdr:spPr>
    </xdr:pic>
    <xdr:clientData/>
  </xdr:oneCellAnchor>
  <xdr:twoCellAnchor>
    <xdr:from>
      <xdr:col>14</xdr:col>
      <xdr:colOff>250595</xdr:colOff>
      <xdr:row>9</xdr:row>
      <xdr:rowOff>514760</xdr:rowOff>
    </xdr:from>
    <xdr:to>
      <xdr:col>15</xdr:col>
      <xdr:colOff>170525</xdr:colOff>
      <xdr:row>9</xdr:row>
      <xdr:rowOff>1101824</xdr:rowOff>
    </xdr:to>
    <xdr:grpSp>
      <xdr:nvGrpSpPr>
        <xdr:cNvPr id="37" name="Группа 36">
          <a:extLst>
            <a:ext uri="{FF2B5EF4-FFF2-40B4-BE49-F238E27FC236}">
              <a16:creationId xmlns:a16="http://schemas.microsoft.com/office/drawing/2014/main" xmlns="" id="{00000000-0008-0000-0D00-000025000000}"/>
            </a:ext>
          </a:extLst>
        </xdr:cNvPr>
        <xdr:cNvGrpSpPr/>
      </xdr:nvGrpSpPr>
      <xdr:grpSpPr>
        <a:xfrm>
          <a:off x="9994670" y="13421135"/>
          <a:ext cx="529530" cy="587064"/>
          <a:chOff x="13402234" y="7417072"/>
          <a:chExt cx="1389920" cy="1390005"/>
        </a:xfrm>
      </xdr:grpSpPr>
      <xdr:pic>
        <xdr:nvPicPr>
          <xdr:cNvPr id="38" name="Picture 4" descr="BaseALT">
            <a:extLst>
              <a:ext uri="{FF2B5EF4-FFF2-40B4-BE49-F238E27FC236}">
                <a16:creationId xmlns:a16="http://schemas.microsoft.com/office/drawing/2014/main" xmlns="" id="{00000000-0008-0000-0D00-00002600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a:ext>
            </a:extLst>
          </a:blip>
          <a:srcRect/>
          <a:stretch>
            <a:fillRect/>
          </a:stretch>
        </xdr:blipFill>
        <xdr:spPr bwMode="auto">
          <a:xfrm>
            <a:off x="13536909" y="7732718"/>
            <a:ext cx="1152525" cy="809626"/>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39" name="Овал 38">
            <a:extLst>
              <a:ext uri="{FF2B5EF4-FFF2-40B4-BE49-F238E27FC236}">
                <a16:creationId xmlns:a16="http://schemas.microsoft.com/office/drawing/2014/main" xmlns="" id="{00000000-0008-0000-0D00-000027000000}"/>
              </a:ext>
            </a:extLst>
          </xdr:cNvPr>
          <xdr:cNvSpPr/>
        </xdr:nvSpPr>
        <xdr:spPr>
          <a:xfrm>
            <a:off x="13402234" y="7417072"/>
            <a:ext cx="1389920" cy="1390005"/>
          </a:xfrm>
          <a:prstGeom prst="ellipse">
            <a:avLst/>
          </a:prstGeom>
          <a:noFill/>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ru-RU"/>
            </a:defPPr>
            <a:lvl1pPr marL="0" algn="l" defTabSz="1727699" rtl="0" eaLnBrk="1" latinLnBrk="0" hangingPunct="1">
              <a:defRPr sz="3400" kern="1200">
                <a:solidFill>
                  <a:schemeClr val="dk1"/>
                </a:solidFill>
                <a:latin typeface="+mn-lt"/>
                <a:ea typeface="+mn-ea"/>
                <a:cs typeface="+mn-cs"/>
              </a:defRPr>
            </a:lvl1pPr>
            <a:lvl2pPr marL="863849" algn="l" defTabSz="1727699" rtl="0" eaLnBrk="1" latinLnBrk="0" hangingPunct="1">
              <a:defRPr sz="3400" kern="1200">
                <a:solidFill>
                  <a:schemeClr val="dk1"/>
                </a:solidFill>
                <a:latin typeface="+mn-lt"/>
                <a:ea typeface="+mn-ea"/>
                <a:cs typeface="+mn-cs"/>
              </a:defRPr>
            </a:lvl2pPr>
            <a:lvl3pPr marL="1727699" algn="l" defTabSz="1727699" rtl="0" eaLnBrk="1" latinLnBrk="0" hangingPunct="1">
              <a:defRPr sz="3400" kern="1200">
                <a:solidFill>
                  <a:schemeClr val="dk1"/>
                </a:solidFill>
                <a:latin typeface="+mn-lt"/>
                <a:ea typeface="+mn-ea"/>
                <a:cs typeface="+mn-cs"/>
              </a:defRPr>
            </a:lvl3pPr>
            <a:lvl4pPr marL="2591548" algn="l" defTabSz="1727699" rtl="0" eaLnBrk="1" latinLnBrk="0" hangingPunct="1">
              <a:defRPr sz="3400" kern="1200">
                <a:solidFill>
                  <a:schemeClr val="dk1"/>
                </a:solidFill>
                <a:latin typeface="+mn-lt"/>
                <a:ea typeface="+mn-ea"/>
                <a:cs typeface="+mn-cs"/>
              </a:defRPr>
            </a:lvl4pPr>
            <a:lvl5pPr marL="3455397" algn="l" defTabSz="1727699" rtl="0" eaLnBrk="1" latinLnBrk="0" hangingPunct="1">
              <a:defRPr sz="3400" kern="1200">
                <a:solidFill>
                  <a:schemeClr val="dk1"/>
                </a:solidFill>
                <a:latin typeface="+mn-lt"/>
                <a:ea typeface="+mn-ea"/>
                <a:cs typeface="+mn-cs"/>
              </a:defRPr>
            </a:lvl5pPr>
            <a:lvl6pPr marL="4319249" algn="l" defTabSz="1727699" rtl="0" eaLnBrk="1" latinLnBrk="0" hangingPunct="1">
              <a:defRPr sz="3400" kern="1200">
                <a:solidFill>
                  <a:schemeClr val="dk1"/>
                </a:solidFill>
                <a:latin typeface="+mn-lt"/>
                <a:ea typeface="+mn-ea"/>
                <a:cs typeface="+mn-cs"/>
              </a:defRPr>
            </a:lvl6pPr>
            <a:lvl7pPr marL="5183098" algn="l" defTabSz="1727699" rtl="0" eaLnBrk="1" latinLnBrk="0" hangingPunct="1">
              <a:defRPr sz="3400" kern="1200">
                <a:solidFill>
                  <a:schemeClr val="dk1"/>
                </a:solidFill>
                <a:latin typeface="+mn-lt"/>
                <a:ea typeface="+mn-ea"/>
                <a:cs typeface="+mn-cs"/>
              </a:defRPr>
            </a:lvl7pPr>
            <a:lvl8pPr marL="6046950" algn="l" defTabSz="1727699" rtl="0" eaLnBrk="1" latinLnBrk="0" hangingPunct="1">
              <a:defRPr sz="3400" kern="1200">
                <a:solidFill>
                  <a:schemeClr val="dk1"/>
                </a:solidFill>
                <a:latin typeface="+mn-lt"/>
                <a:ea typeface="+mn-ea"/>
                <a:cs typeface="+mn-cs"/>
              </a:defRPr>
            </a:lvl8pPr>
            <a:lvl9pPr marL="6910799" algn="l" defTabSz="1727699" rtl="0" eaLnBrk="1" latinLnBrk="0" hangingPunct="1">
              <a:defRPr sz="3400" kern="1200">
                <a:solidFill>
                  <a:schemeClr val="dk1"/>
                </a:solidFill>
                <a:latin typeface="+mn-lt"/>
                <a:ea typeface="+mn-ea"/>
                <a:cs typeface="+mn-cs"/>
              </a:defRPr>
            </a:lvl9pPr>
          </a:lstStyle>
          <a:p>
            <a:pPr algn="ctr" defTabSz="685699"/>
            <a:endParaRPr lang="ru-RU" sz="1349">
              <a:solidFill>
                <a:prstClr val="black"/>
              </a:solidFill>
              <a:latin typeface="Calibri"/>
            </a:endParaRPr>
          </a:p>
        </xdr:txBody>
      </xdr:sp>
    </xdr:grpSp>
    <xdr:clientData/>
  </xdr:twoCellAnchor>
  <xdr:oneCellAnchor>
    <xdr:from>
      <xdr:col>9</xdr:col>
      <xdr:colOff>474964</xdr:colOff>
      <xdr:row>9</xdr:row>
      <xdr:rowOff>627930</xdr:rowOff>
    </xdr:from>
    <xdr:ext cx="1474752" cy="785769"/>
    <xdr:pic>
      <xdr:nvPicPr>
        <xdr:cNvPr id="40" name="Рисунок 39">
          <a:extLst>
            <a:ext uri="{FF2B5EF4-FFF2-40B4-BE49-F238E27FC236}">
              <a16:creationId xmlns:a16="http://schemas.microsoft.com/office/drawing/2014/main" xmlns="" id="{00000000-0008-0000-0D00-000028000000}"/>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7358364" y="13505730"/>
          <a:ext cx="1474752" cy="785769"/>
        </a:xfrm>
        <a:prstGeom prst="rect">
          <a:avLst/>
        </a:prstGeom>
      </xdr:spPr>
    </xdr:pic>
    <xdr:clientData/>
  </xdr:oneCellAnchor>
  <xdr:oneCellAnchor>
    <xdr:from>
      <xdr:col>13</xdr:col>
      <xdr:colOff>396560</xdr:colOff>
      <xdr:row>9</xdr:row>
      <xdr:rowOff>1173793</xdr:rowOff>
    </xdr:from>
    <xdr:ext cx="955442" cy="525624"/>
    <xdr:pic>
      <xdr:nvPicPr>
        <xdr:cNvPr id="41" name="Picture 4" descr="ROSA Desktop.Fresh">
          <a:extLst>
            <a:ext uri="{FF2B5EF4-FFF2-40B4-BE49-F238E27FC236}">
              <a16:creationId xmlns:a16="http://schemas.microsoft.com/office/drawing/2014/main" xmlns="" id="{00000000-0008-0000-0D00-000029000000}"/>
            </a:ext>
          </a:extLst>
        </xdr:cNvPr>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9786093" y="14051593"/>
          <a:ext cx="955442" cy="52562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84098</xdr:colOff>
      <xdr:row>9</xdr:row>
      <xdr:rowOff>1284150</xdr:rowOff>
    </xdr:from>
    <xdr:ext cx="766505" cy="292507"/>
    <xdr:pic>
      <xdr:nvPicPr>
        <xdr:cNvPr id="42" name="Picture 2" descr="РЕД ОС">
          <a:extLst>
            <a:ext uri="{FF2B5EF4-FFF2-40B4-BE49-F238E27FC236}">
              <a16:creationId xmlns:a16="http://schemas.microsoft.com/office/drawing/2014/main" xmlns="" id="{00000000-0008-0000-0D00-00002A000000}"/>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8847098" y="14161950"/>
          <a:ext cx="766505" cy="29250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77263</xdr:colOff>
      <xdr:row>71</xdr:row>
      <xdr:rowOff>164809</xdr:rowOff>
    </xdr:from>
    <xdr:to>
      <xdr:col>13</xdr:col>
      <xdr:colOff>509998</xdr:colOff>
      <xdr:row>91</xdr:row>
      <xdr:rowOff>177800</xdr:rowOff>
    </xdr:to>
    <xdr:sp macro="" textlink="">
      <xdr:nvSpPr>
        <xdr:cNvPr id="43" name="TextBox 42">
          <a:extLst>
            <a:ext uri="{FF2B5EF4-FFF2-40B4-BE49-F238E27FC236}">
              <a16:creationId xmlns:a16="http://schemas.microsoft.com/office/drawing/2014/main" xmlns="" id="{00000000-0008-0000-0D00-00002B000000}"/>
            </a:ext>
          </a:extLst>
        </xdr:cNvPr>
        <xdr:cNvSpPr txBox="1"/>
      </xdr:nvSpPr>
      <xdr:spPr>
        <a:xfrm>
          <a:off x="263530" y="46206542"/>
          <a:ext cx="9636001" cy="3738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ru-RU" sz="1400" b="1" i="0" u="none" baseline="0">
              <a:solidFill>
                <a:schemeClr val="dk1"/>
              </a:solidFill>
              <a:effectLst/>
              <a:latin typeface="+mn-lt"/>
              <a:ea typeface="+mn-ea"/>
              <a:cs typeface="+mn-cs"/>
            </a:rPr>
            <a:t>Ключевые особенности:</a:t>
          </a:r>
          <a:endParaRPr lang="ru-RU" sz="1400" u="none">
            <a:effectLst/>
          </a:endParaRPr>
        </a:p>
        <a:p>
          <a:pPr marL="171450" indent="-171450" algn="l" rtl="0" eaLnBrk="1" latinLnBrk="0" hangingPunct="1">
            <a:spcBef>
              <a:spcPts val="600"/>
            </a:spcBef>
            <a:buFont typeface="Wingdings" panose="05000000000000000000" pitchFamily="2" charset="2"/>
            <a:buChar char="v"/>
          </a:pPr>
          <a:r>
            <a:rPr lang="ru-RU" sz="1100" b="0">
              <a:solidFill>
                <a:schemeClr val="dk1"/>
              </a:solidFill>
              <a:effectLst/>
              <a:latin typeface="+mn-lt"/>
              <a:ea typeface="+mn-ea"/>
              <a:cs typeface="+mn-cs"/>
            </a:rPr>
            <a:t>На прикладном уровне: анализ трафика веб-приложений и обнаружение вторжений.</a:t>
          </a:r>
        </a:p>
        <a:p>
          <a:pPr marL="171450" indent="-171450" algn="l" rtl="0" eaLnBrk="1" latinLnBrk="0" hangingPunct="1">
            <a:spcBef>
              <a:spcPts val="600"/>
            </a:spcBef>
            <a:buFont typeface="Wingdings" panose="05000000000000000000" pitchFamily="2" charset="2"/>
            <a:buChar char="v"/>
          </a:pPr>
          <a:r>
            <a:rPr lang="ru-RU" sz="1100" b="0">
              <a:solidFill>
                <a:schemeClr val="dk1"/>
              </a:solidFill>
              <a:effectLst/>
              <a:latin typeface="+mn-lt"/>
              <a:ea typeface="+mn-ea"/>
              <a:cs typeface="+mn-cs"/>
            </a:rPr>
            <a:t>На транспортном и сетевом уровне: обнаружение атак на сетевую инфраструктуру.</a:t>
          </a:r>
        </a:p>
        <a:p>
          <a:pPr marL="171450" indent="-171450" algn="l" rtl="0" eaLnBrk="1" latinLnBrk="0" hangingPunct="1">
            <a:spcBef>
              <a:spcPts val="600"/>
            </a:spcBef>
            <a:buFont typeface="Wingdings" panose="05000000000000000000" pitchFamily="2" charset="2"/>
            <a:buChar char="v"/>
          </a:pPr>
          <a:r>
            <a:rPr lang="ru-RU" sz="1100" b="0">
              <a:solidFill>
                <a:schemeClr val="dk1"/>
              </a:solidFill>
              <a:effectLst/>
              <a:latin typeface="+mn-lt"/>
              <a:ea typeface="+mn-ea"/>
              <a:cs typeface="+mn-cs"/>
            </a:rPr>
            <a:t>Защита от угроз из списка OWASP TOP 10, XSS, CSRF, bruteforce-атак.</a:t>
          </a:r>
        </a:p>
        <a:p>
          <a:pPr marL="171450" indent="-171450" algn="l" rtl="0" eaLnBrk="1" latinLnBrk="0" hangingPunct="1">
            <a:spcBef>
              <a:spcPts val="600"/>
            </a:spcBef>
            <a:buFont typeface="Wingdings" panose="05000000000000000000" pitchFamily="2" charset="2"/>
            <a:buChar char="v"/>
          </a:pPr>
          <a:r>
            <a:rPr lang="ru-RU" sz="1100" b="0">
              <a:solidFill>
                <a:schemeClr val="dk1"/>
              </a:solidFill>
              <a:effectLst/>
              <a:latin typeface="+mn-lt"/>
              <a:ea typeface="+mn-ea"/>
              <a:cs typeface="+mn-cs"/>
            </a:rPr>
            <a:t>Инспекция SSL/TLS.</a:t>
          </a:r>
        </a:p>
        <a:p>
          <a:pPr marL="171450" indent="-171450" algn="l" rtl="0" eaLnBrk="1" latinLnBrk="0" hangingPunct="1">
            <a:spcBef>
              <a:spcPts val="600"/>
            </a:spcBef>
            <a:buFont typeface="Wingdings" panose="05000000000000000000" pitchFamily="2" charset="2"/>
            <a:buChar char="v"/>
          </a:pPr>
          <a:r>
            <a:rPr lang="en-US" sz="1100" b="0">
              <a:solidFill>
                <a:schemeClr val="dk1"/>
              </a:solidFill>
              <a:effectLst/>
              <a:latin typeface="+mn-lt"/>
              <a:ea typeface="+mn-ea"/>
              <a:cs typeface="+mn-cs"/>
            </a:rPr>
            <a:t>GEO</a:t>
          </a:r>
          <a:r>
            <a:rPr lang="ru-RU" sz="1100" b="0">
              <a:solidFill>
                <a:schemeClr val="dk1"/>
              </a:solidFill>
              <a:effectLst/>
              <a:latin typeface="+mn-lt"/>
              <a:ea typeface="+mn-ea"/>
              <a:cs typeface="+mn-cs"/>
            </a:rPr>
            <a:t>-</a:t>
          </a:r>
          <a:r>
            <a:rPr lang="en-US" sz="1100" b="0">
              <a:solidFill>
                <a:schemeClr val="dk1"/>
              </a:solidFill>
              <a:effectLst/>
              <a:latin typeface="+mn-lt"/>
              <a:ea typeface="+mn-ea"/>
              <a:cs typeface="+mn-cs"/>
            </a:rPr>
            <a:t>IP</a:t>
          </a:r>
          <a:r>
            <a:rPr lang="ru-RU" sz="1100" b="0">
              <a:solidFill>
                <a:schemeClr val="dk1"/>
              </a:solidFill>
              <a:effectLst/>
              <a:latin typeface="+mn-lt"/>
              <a:ea typeface="+mn-ea"/>
              <a:cs typeface="+mn-cs"/>
            </a:rPr>
            <a:t>-фильтр.</a:t>
          </a:r>
        </a:p>
        <a:p>
          <a:pPr marL="171450" marR="0" lvl="0" indent="-171450" algn="l" defTabSz="914400" rtl="0" eaLnBrk="1" fontAlgn="auto" latinLnBrk="0" hangingPunct="1">
            <a:lnSpc>
              <a:spcPct val="100000"/>
            </a:lnSpc>
            <a:spcBef>
              <a:spcPts val="600"/>
            </a:spcBef>
            <a:spcAft>
              <a:spcPts val="0"/>
            </a:spcAft>
            <a:buClrTx/>
            <a:buSzTx/>
            <a:buFont typeface="Wingdings" panose="05000000000000000000" pitchFamily="2" charset="2"/>
            <a:buChar char="v"/>
            <a:tabLst/>
            <a:defRPr/>
          </a:pPr>
          <a:r>
            <a:rPr lang="ru-RU" sz="1100" b="0">
              <a:solidFill>
                <a:schemeClr val="dk1"/>
              </a:solidFill>
              <a:effectLst/>
              <a:latin typeface="+mn-lt"/>
              <a:ea typeface="+mn-ea"/>
              <a:cs typeface="+mn-cs"/>
            </a:rPr>
            <a:t>Защита от </a:t>
          </a:r>
          <a:r>
            <a:rPr lang="en-US" sz="1100" b="0">
              <a:solidFill>
                <a:schemeClr val="dk1"/>
              </a:solidFill>
              <a:effectLst/>
              <a:latin typeface="+mn-lt"/>
              <a:ea typeface="+mn-ea"/>
              <a:cs typeface="+mn-cs"/>
            </a:rPr>
            <a:t>DoS/DDoS</a:t>
          </a:r>
          <a:r>
            <a:rPr lang="ru-RU" sz="1100" b="0">
              <a:solidFill>
                <a:schemeClr val="dk1"/>
              </a:solidFill>
              <a:effectLst/>
              <a:latin typeface="+mn-lt"/>
              <a:ea typeface="+mn-ea"/>
              <a:cs typeface="+mn-cs"/>
            </a:rPr>
            <a:t> на транспортном и прикладном уровне.</a:t>
          </a:r>
        </a:p>
        <a:p>
          <a:pPr marL="171450" indent="-171450" algn="l" rtl="0" eaLnBrk="1" latinLnBrk="0" hangingPunct="1">
            <a:spcBef>
              <a:spcPts val="600"/>
            </a:spcBef>
            <a:buFont typeface="Wingdings" panose="05000000000000000000" pitchFamily="2" charset="2"/>
            <a:buChar char="v"/>
          </a:pPr>
          <a:r>
            <a:rPr lang="ru-RU" sz="1100" b="0">
              <a:solidFill>
                <a:schemeClr val="dk1"/>
              </a:solidFill>
              <a:effectLst/>
              <a:latin typeface="+mn-lt"/>
              <a:ea typeface="+mn-ea"/>
              <a:cs typeface="+mn-cs"/>
            </a:rPr>
            <a:t>Поддержка протокола </a:t>
          </a:r>
          <a:r>
            <a:rPr lang="en-US" sz="1100" b="0">
              <a:solidFill>
                <a:schemeClr val="dk1"/>
              </a:solidFill>
              <a:effectLst/>
              <a:latin typeface="+mn-lt"/>
              <a:ea typeface="+mn-ea"/>
              <a:cs typeface="+mn-cs"/>
            </a:rPr>
            <a:t>HTTP 2.0/3.0</a:t>
          </a:r>
          <a:r>
            <a:rPr lang="ru-RU" sz="1100" b="0">
              <a:solidFill>
                <a:schemeClr val="dk1"/>
              </a:solidFill>
              <a:effectLst/>
              <a:latin typeface="+mn-lt"/>
              <a:ea typeface="+mn-ea"/>
              <a:cs typeface="+mn-cs"/>
            </a:rPr>
            <a:t>.</a:t>
          </a:r>
        </a:p>
        <a:p>
          <a:pPr marL="171450" indent="-171450" algn="l" rtl="0" eaLnBrk="1" latinLnBrk="0" hangingPunct="1">
            <a:spcBef>
              <a:spcPts val="600"/>
            </a:spcBef>
            <a:buFont typeface="Wingdings" panose="05000000000000000000" pitchFamily="2" charset="2"/>
            <a:buChar char="v"/>
          </a:pPr>
          <a:r>
            <a:rPr lang="ru-RU" sz="1100" b="0">
              <a:solidFill>
                <a:schemeClr val="dk1"/>
              </a:solidFill>
              <a:effectLst/>
              <a:latin typeface="+mn-lt"/>
              <a:ea typeface="+mn-ea"/>
              <a:cs typeface="+mn-cs"/>
            </a:rPr>
            <a:t>Работа в режиме отказоустойчивого кластера .</a:t>
          </a:r>
        </a:p>
        <a:p>
          <a:pPr marL="171450" indent="-171450" algn="l" rtl="0" eaLnBrk="1" latinLnBrk="0" hangingPunct="1">
            <a:spcBef>
              <a:spcPts val="600"/>
            </a:spcBef>
            <a:buFont typeface="Wingdings" panose="05000000000000000000" pitchFamily="2" charset="2"/>
            <a:buChar char="v"/>
          </a:pPr>
          <a:r>
            <a:rPr lang="ru-RU" sz="1100" b="0">
              <a:solidFill>
                <a:schemeClr val="dk1"/>
              </a:solidFill>
              <a:effectLst/>
              <a:latin typeface="+mn-lt"/>
              <a:ea typeface="+mn-ea"/>
              <a:cs typeface="+mn-cs"/>
            </a:rPr>
            <a:t>Графическая панель мониторинга системы с отображением статистики.</a:t>
          </a:r>
        </a:p>
        <a:p>
          <a:pPr marL="171450" indent="-171450" algn="l" rtl="0" eaLnBrk="1" latinLnBrk="0" hangingPunct="1">
            <a:spcBef>
              <a:spcPts val="600"/>
            </a:spcBef>
            <a:buFont typeface="Wingdings" panose="05000000000000000000" pitchFamily="2" charset="2"/>
            <a:buChar char="v"/>
          </a:pPr>
          <a:r>
            <a:rPr lang="ru-RU" sz="1100" b="0">
              <a:solidFill>
                <a:schemeClr val="dk1"/>
              </a:solidFill>
              <a:effectLst/>
              <a:latin typeface="+mn-lt"/>
              <a:ea typeface="+mn-ea"/>
              <a:cs typeface="+mn-cs"/>
            </a:rPr>
            <a:t>Централизованный мониторинг и управление защитой из ЕЦУ</a:t>
          </a:r>
          <a:r>
            <a:rPr lang="en-US" sz="1100" b="0">
              <a:solidFill>
                <a:schemeClr val="dk1"/>
              </a:solidFill>
              <a:effectLst/>
              <a:latin typeface="+mn-lt"/>
              <a:ea typeface="+mn-ea"/>
              <a:cs typeface="+mn-cs"/>
            </a:rPr>
            <a:t> Dallas Lock</a:t>
          </a:r>
          <a:r>
            <a:rPr lang="ru-RU" sz="1100" b="0">
              <a:solidFill>
                <a:schemeClr val="dk1"/>
              </a:solidFill>
              <a:effectLst/>
              <a:latin typeface="+mn-lt"/>
              <a:ea typeface="+mn-ea"/>
              <a:cs typeface="+mn-cs"/>
            </a:rPr>
            <a:t>.</a:t>
          </a:r>
        </a:p>
        <a:p>
          <a:pPr marL="171450" indent="-171450" algn="l" rtl="0" eaLnBrk="1" latinLnBrk="0" hangingPunct="1">
            <a:spcBef>
              <a:spcPts val="600"/>
            </a:spcBef>
            <a:buFont typeface="Wingdings" panose="05000000000000000000" pitchFamily="2" charset="2"/>
            <a:buChar char="v"/>
          </a:pPr>
          <a:r>
            <a:rPr lang="ru-RU" sz="1100">
              <a:solidFill>
                <a:schemeClr val="dk1"/>
              </a:solidFill>
              <a:effectLst/>
              <a:latin typeface="+mn-lt"/>
              <a:ea typeface="+mn-ea"/>
              <a:cs typeface="+mn-cs"/>
            </a:rPr>
            <a:t>Использование нейронных сетей для анализа входящего трафика.</a:t>
          </a:r>
        </a:p>
        <a:p>
          <a:pPr marL="171450" indent="-171450" algn="l" rtl="0" eaLnBrk="1" latinLnBrk="0" hangingPunct="1">
            <a:spcBef>
              <a:spcPts val="600"/>
            </a:spcBef>
            <a:buFont typeface="Wingdings" panose="05000000000000000000" pitchFamily="2" charset="2"/>
            <a:buChar char="v"/>
          </a:pPr>
          <a:r>
            <a:rPr lang="ru-RU" sz="1100" b="0">
              <a:solidFill>
                <a:schemeClr val="dk1"/>
              </a:solidFill>
              <a:effectLst/>
              <a:latin typeface="+mn-lt"/>
              <a:ea typeface="+mn-ea"/>
              <a:cs typeface="+mn-cs"/>
            </a:rPr>
            <a:t>Граф связей и переходов:</a:t>
          </a:r>
          <a:r>
            <a:rPr lang="ru-RU" sz="1100" b="0" baseline="0">
              <a:solidFill>
                <a:schemeClr val="dk1"/>
              </a:solidFill>
              <a:effectLst/>
              <a:latin typeface="+mn-lt"/>
              <a:ea typeface="+mn-ea"/>
              <a:cs typeface="+mn-cs"/>
            </a:rPr>
            <a:t> возможность блокировки перехода пользователей на отдельные узлы защищаемого ресурса.</a:t>
          </a:r>
        </a:p>
        <a:p>
          <a:pPr marL="171450" indent="-171450" algn="l" rtl="0" eaLnBrk="1" latinLnBrk="0" hangingPunct="1">
            <a:spcBef>
              <a:spcPts val="600"/>
            </a:spcBef>
            <a:buFont typeface="Wingdings" panose="05000000000000000000" pitchFamily="2" charset="2"/>
            <a:buChar char="v"/>
          </a:pPr>
          <a:r>
            <a:rPr lang="ru-RU" sz="1100" b="0" baseline="0">
              <a:solidFill>
                <a:schemeClr val="dk1"/>
              </a:solidFill>
              <a:effectLst/>
              <a:latin typeface="+mn-lt"/>
              <a:ea typeface="+mn-ea"/>
              <a:cs typeface="+mn-cs"/>
            </a:rPr>
            <a:t>Удалённый доступ к АРМ, находящимся под защитой </a:t>
          </a:r>
          <a:r>
            <a:rPr lang="en-US" sz="1100" b="0" baseline="0">
              <a:solidFill>
                <a:schemeClr val="dk1"/>
              </a:solidFill>
              <a:effectLst/>
              <a:latin typeface="+mn-lt"/>
              <a:ea typeface="+mn-ea"/>
              <a:cs typeface="+mn-cs"/>
            </a:rPr>
            <a:t>WAF</a:t>
          </a:r>
          <a:r>
            <a:rPr lang="ru-RU" sz="1100" b="0" baseline="0">
              <a:solidFill>
                <a:schemeClr val="dk1"/>
              </a:solidFill>
              <a:effectLst/>
              <a:latin typeface="+mn-lt"/>
              <a:ea typeface="+mn-ea"/>
              <a:cs typeface="+mn-cs"/>
            </a:rPr>
            <a:t>.</a:t>
          </a:r>
          <a:endParaRPr lang="ru-RU">
            <a:effectLst/>
          </a:endParaRPr>
        </a:p>
        <a:p>
          <a:pPr marL="171450" indent="-171450" algn="l" rtl="0" eaLnBrk="1" latinLnBrk="0" hangingPunct="1">
            <a:spcBef>
              <a:spcPts val="600"/>
            </a:spcBef>
            <a:buFont typeface="Wingdings" panose="05000000000000000000" pitchFamily="2" charset="2"/>
            <a:buChar char="v"/>
          </a:pPr>
          <a:endParaRPr lang="ru-RU" sz="1100" b="0">
            <a:solidFill>
              <a:schemeClr val="dk1"/>
            </a:solidFill>
            <a:effectLst/>
            <a:latin typeface="+mn-lt"/>
            <a:ea typeface="+mn-ea"/>
            <a:cs typeface="+mn-cs"/>
          </a:endParaRPr>
        </a:p>
      </xdr:txBody>
    </xdr:sp>
    <xdr:clientData/>
  </xdr:twoCellAnchor>
  <xdr:twoCellAnchor>
    <xdr:from>
      <xdr:col>1</xdr:col>
      <xdr:colOff>988136</xdr:colOff>
      <xdr:row>59</xdr:row>
      <xdr:rowOff>74409</xdr:rowOff>
    </xdr:from>
    <xdr:to>
      <xdr:col>5</xdr:col>
      <xdr:colOff>570442</xdr:colOff>
      <xdr:row>62</xdr:row>
      <xdr:rowOff>75539</xdr:rowOff>
    </xdr:to>
    <xdr:sp macro="" textlink="">
      <xdr:nvSpPr>
        <xdr:cNvPr id="44" name="TextBox 43">
          <a:extLst>
            <a:ext uri="{FF2B5EF4-FFF2-40B4-BE49-F238E27FC236}">
              <a16:creationId xmlns:a16="http://schemas.microsoft.com/office/drawing/2014/main" xmlns="" id="{00000000-0008-0000-0D00-00002C000000}"/>
            </a:ext>
          </a:extLst>
        </xdr:cNvPr>
        <xdr:cNvSpPr txBox="1"/>
      </xdr:nvSpPr>
      <xdr:spPr>
        <a:xfrm>
          <a:off x="1216736" y="11313909"/>
          <a:ext cx="2401706" cy="57263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sz="1400" b="1">
              <a:solidFill>
                <a:schemeClr val="dk1"/>
              </a:solidFill>
              <a:effectLst/>
              <a:latin typeface="+mn-lt"/>
              <a:ea typeface="+mn-ea"/>
              <a:cs typeface="+mn-cs"/>
            </a:rPr>
            <a:t>WAF (Web Application Firewall) </a:t>
          </a:r>
          <a:r>
            <a:rPr lang="en-US" sz="1400">
              <a:solidFill>
                <a:schemeClr val="dk1"/>
              </a:solidFill>
              <a:effectLst/>
              <a:latin typeface="+mn-lt"/>
              <a:ea typeface="+mn-ea"/>
              <a:cs typeface="+mn-cs"/>
            </a:rPr>
            <a:t>— </a:t>
          </a:r>
        </a:p>
        <a:p>
          <a:pPr marL="0" marR="0" lvl="0" indent="0" defTabSz="914400" rtl="0" eaLnBrk="1" fontAlgn="auto" latinLnBrk="0" hangingPunct="1">
            <a:lnSpc>
              <a:spcPct val="100000"/>
            </a:lnSpc>
            <a:spcBef>
              <a:spcPts val="0"/>
            </a:spcBef>
            <a:spcAft>
              <a:spcPts val="0"/>
            </a:spcAft>
            <a:buClrTx/>
            <a:buSzTx/>
            <a:buFontTx/>
            <a:buNone/>
            <a:tabLst/>
            <a:defRPr/>
          </a:pPr>
          <a:r>
            <a:rPr lang="ru-RU" sz="1400">
              <a:solidFill>
                <a:schemeClr val="dk1"/>
              </a:solidFill>
              <a:effectLst/>
              <a:latin typeface="+mn-lt"/>
              <a:ea typeface="+mn-ea"/>
              <a:cs typeface="+mn-cs"/>
            </a:rPr>
            <a:t>межсетевой экран уровня веб-приложений</a:t>
          </a:r>
          <a:r>
            <a:rPr lang="ru-RU" sz="1400" b="0" i="0" cap="all">
              <a:solidFill>
                <a:schemeClr val="dk1"/>
              </a:solidFill>
              <a:effectLst/>
              <a:latin typeface="+mn-lt"/>
              <a:ea typeface="+mn-ea"/>
              <a:cs typeface="+mn-cs"/>
            </a:rPr>
            <a:t/>
          </a:r>
          <a:br>
            <a:rPr lang="ru-RU" sz="1400" b="0" i="0" cap="all">
              <a:solidFill>
                <a:schemeClr val="dk1"/>
              </a:solidFill>
              <a:effectLst/>
              <a:latin typeface="+mn-lt"/>
              <a:ea typeface="+mn-ea"/>
              <a:cs typeface="+mn-cs"/>
            </a:rPr>
          </a:br>
          <a:endParaRPr lang="ru-RU" sz="1400">
            <a:effectLst/>
          </a:endParaRPr>
        </a:p>
      </xdr:txBody>
    </xdr:sp>
    <xdr:clientData/>
  </xdr:twoCellAnchor>
  <xdr:twoCellAnchor>
    <xdr:from>
      <xdr:col>1</xdr:col>
      <xdr:colOff>983412</xdr:colOff>
      <xdr:row>64</xdr:row>
      <xdr:rowOff>89816</xdr:rowOff>
    </xdr:from>
    <xdr:to>
      <xdr:col>6</xdr:col>
      <xdr:colOff>66140</xdr:colOff>
      <xdr:row>68</xdr:row>
      <xdr:rowOff>167107</xdr:rowOff>
    </xdr:to>
    <xdr:sp macro="" textlink="">
      <xdr:nvSpPr>
        <xdr:cNvPr id="45" name="TextBox 44">
          <a:extLst>
            <a:ext uri="{FF2B5EF4-FFF2-40B4-BE49-F238E27FC236}">
              <a16:creationId xmlns:a16="http://schemas.microsoft.com/office/drawing/2014/main" xmlns="" id="{00000000-0008-0000-0D00-00002D000000}"/>
            </a:ext>
          </a:extLst>
        </xdr:cNvPr>
        <xdr:cNvSpPr txBox="1"/>
      </xdr:nvSpPr>
      <xdr:spPr>
        <a:xfrm>
          <a:off x="1221537" y="12281816"/>
          <a:ext cx="2502203" cy="83929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solidFill>
                <a:schemeClr val="dk1"/>
              </a:solidFill>
              <a:effectLst/>
              <a:latin typeface="+mn-lt"/>
              <a:ea typeface="+mn-ea"/>
              <a:cs typeface="+mn-cs"/>
            </a:rPr>
            <a:t>UTM (Unified Threat Management) </a:t>
          </a:r>
          <a:r>
            <a:rPr lang="en-US" sz="1400">
              <a:solidFill>
                <a:schemeClr val="dk1"/>
              </a:solidFill>
              <a:effectLst/>
              <a:latin typeface="+mn-lt"/>
              <a:ea typeface="+mn-ea"/>
              <a:cs typeface="+mn-cs"/>
            </a:rPr>
            <a:t>— </a:t>
          </a:r>
          <a:r>
            <a:rPr lang="ru-RU" sz="1400">
              <a:solidFill>
                <a:schemeClr val="dk1"/>
              </a:solidFill>
              <a:effectLst/>
              <a:latin typeface="+mn-lt"/>
              <a:ea typeface="+mn-ea"/>
              <a:cs typeface="+mn-cs"/>
            </a:rPr>
            <a:t>межсетевой экран уровня логических границ сети и система обнаружения вторжений уровня сети</a:t>
          </a:r>
          <a:r>
            <a:rPr lang="en-US" sz="1400">
              <a:solidFill>
                <a:schemeClr val="dk1"/>
              </a:solidFill>
              <a:effectLst/>
              <a:latin typeface="+mn-lt"/>
              <a:ea typeface="+mn-ea"/>
              <a:cs typeface="+mn-cs"/>
            </a:rPr>
            <a:t>.</a:t>
          </a:r>
          <a:endParaRPr lang="ru-RU" sz="1400">
            <a:effectLst/>
          </a:endParaRPr>
        </a:p>
      </xdr:txBody>
    </xdr:sp>
    <xdr:clientData/>
  </xdr:twoCellAnchor>
  <xdr:oneCellAnchor>
    <xdr:from>
      <xdr:col>1</xdr:col>
      <xdr:colOff>21404</xdr:colOff>
      <xdr:row>51</xdr:row>
      <xdr:rowOff>57809</xdr:rowOff>
    </xdr:from>
    <xdr:ext cx="339449" cy="434494"/>
    <xdr:pic>
      <xdr:nvPicPr>
        <xdr:cNvPr id="46" name="Рисунок 45">
          <a:extLst>
            <a:ext uri="{FF2B5EF4-FFF2-40B4-BE49-F238E27FC236}">
              <a16:creationId xmlns:a16="http://schemas.microsoft.com/office/drawing/2014/main" xmlns="" id="{00000000-0008-0000-0D00-00002E000000}"/>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631004" y="9773309"/>
          <a:ext cx="339449" cy="434494"/>
        </a:xfrm>
        <a:prstGeom prst="rect">
          <a:avLst/>
        </a:prstGeom>
      </xdr:spPr>
    </xdr:pic>
    <xdr:clientData/>
  </xdr:oneCellAnchor>
  <xdr:oneCellAnchor>
    <xdr:from>
      <xdr:col>1</xdr:col>
      <xdr:colOff>172611</xdr:colOff>
      <xdr:row>59</xdr:row>
      <xdr:rowOff>55780</xdr:rowOff>
    </xdr:from>
    <xdr:ext cx="654599" cy="560488"/>
    <xdr:pic>
      <xdr:nvPicPr>
        <xdr:cNvPr id="47" name="Рисунок 46">
          <a:extLst>
            <a:ext uri="{FF2B5EF4-FFF2-40B4-BE49-F238E27FC236}">
              <a16:creationId xmlns:a16="http://schemas.microsoft.com/office/drawing/2014/main" xmlns="" id="{00000000-0008-0000-0D00-00002F000000}"/>
            </a:ext>
          </a:extLst>
        </xdr:cNvPr>
        <xdr:cNvPicPr/>
      </xdr:nvPicPr>
      <xdr:blipFill>
        <a:blip xmlns:r="http://schemas.openxmlformats.org/officeDocument/2006/relationships" r:embed="rId21">
          <a:extLst>
            <a:ext uri="{96DAC541-7B7A-43D3-8B79-37D633B846F1}">
              <asvg:svgBlip xmlns:asvg="http://schemas.microsoft.com/office/drawing/2016/SVG/main" xmlns="" r:embed="rId22"/>
            </a:ext>
          </a:extLst>
        </a:blip>
        <a:stretch>
          <a:fillRect/>
        </a:stretch>
      </xdr:blipFill>
      <xdr:spPr>
        <a:xfrm>
          <a:off x="782211" y="11295280"/>
          <a:ext cx="654599" cy="560488"/>
        </a:xfrm>
        <a:prstGeom prst="rect">
          <a:avLst/>
        </a:prstGeom>
      </xdr:spPr>
    </xdr:pic>
    <xdr:clientData/>
  </xdr:oneCellAnchor>
  <xdr:oneCellAnchor>
    <xdr:from>
      <xdr:col>1</xdr:col>
      <xdr:colOff>163441</xdr:colOff>
      <xdr:row>64</xdr:row>
      <xdr:rowOff>79694</xdr:rowOff>
    </xdr:from>
    <xdr:ext cx="691366" cy="597141"/>
    <xdr:pic>
      <xdr:nvPicPr>
        <xdr:cNvPr id="48" name="Рисунок 47">
          <a:extLst>
            <a:ext uri="{FF2B5EF4-FFF2-40B4-BE49-F238E27FC236}">
              <a16:creationId xmlns:a16="http://schemas.microsoft.com/office/drawing/2014/main" xmlns="" id="{00000000-0008-0000-0D00-000030000000}"/>
            </a:ext>
          </a:extLst>
        </xdr:cNvPr>
        <xdr:cNvPicPr/>
      </xdr:nvPicPr>
      <xdr:blipFill>
        <a:blip xmlns:r="http://schemas.openxmlformats.org/officeDocument/2006/relationships" r:embed="rId23">
          <a:extLst>
            <a:ext uri="{96DAC541-7B7A-43D3-8B79-37D633B846F1}">
              <asvg:svgBlip xmlns:asvg="http://schemas.microsoft.com/office/drawing/2016/SVG/main" xmlns="" r:embed="rId24"/>
            </a:ext>
          </a:extLst>
        </a:blip>
        <a:stretch>
          <a:fillRect/>
        </a:stretch>
      </xdr:blipFill>
      <xdr:spPr>
        <a:xfrm>
          <a:off x="773041" y="12271694"/>
          <a:ext cx="691366" cy="597141"/>
        </a:xfrm>
        <a:prstGeom prst="rect">
          <a:avLst/>
        </a:prstGeom>
      </xdr:spPr>
    </xdr:pic>
    <xdr:clientData/>
  </xdr:oneCellAnchor>
  <xdr:oneCellAnchor>
    <xdr:from>
      <xdr:col>0</xdr:col>
      <xdr:colOff>128427</xdr:colOff>
      <xdr:row>19</xdr:row>
      <xdr:rowOff>42810</xdr:rowOff>
    </xdr:from>
    <xdr:ext cx="372877" cy="470898"/>
    <xdr:pic>
      <xdr:nvPicPr>
        <xdr:cNvPr id="49" name="Рисунок 48">
          <a:extLst>
            <a:ext uri="{FF2B5EF4-FFF2-40B4-BE49-F238E27FC236}">
              <a16:creationId xmlns:a16="http://schemas.microsoft.com/office/drawing/2014/main" xmlns="" id="{00000000-0008-0000-0D00-000031000000}"/>
            </a:ext>
          </a:extLst>
        </xdr:cNvPr>
        <xdr:cNvPicPr/>
      </xdr:nvPicPr>
      <xdr:blipFill>
        <a:blip xmlns:r="http://schemas.openxmlformats.org/officeDocument/2006/relationships" r:embed="rId25" cstate="print">
          <a:extLst>
            <a:ext uri="{28A0092B-C50C-407E-A947-70E740481C1C}">
              <a14:useLocalDpi xmlns:a14="http://schemas.microsoft.com/office/drawing/2010/main" val="0"/>
            </a:ext>
          </a:extLst>
        </a:blip>
        <a:stretch>
          <a:fillRect/>
        </a:stretch>
      </xdr:blipFill>
      <xdr:spPr>
        <a:xfrm>
          <a:off x="128427" y="3662310"/>
          <a:ext cx="372877" cy="470898"/>
        </a:xfrm>
        <a:prstGeom prst="rect">
          <a:avLst/>
        </a:prstGeom>
      </xdr:spPr>
    </xdr:pic>
    <xdr:clientData/>
  </xdr:oneCellAnchor>
  <xdr:twoCellAnchor>
    <xdr:from>
      <xdr:col>1</xdr:col>
      <xdr:colOff>218553</xdr:colOff>
      <xdr:row>22</xdr:row>
      <xdr:rowOff>1726</xdr:rowOff>
    </xdr:from>
    <xdr:to>
      <xdr:col>1</xdr:col>
      <xdr:colOff>1515284</xdr:colOff>
      <xdr:row>26</xdr:row>
      <xdr:rowOff>12358</xdr:rowOff>
    </xdr:to>
    <xdr:grpSp>
      <xdr:nvGrpSpPr>
        <xdr:cNvPr id="50" name="Группа 49">
          <a:extLst>
            <a:ext uri="{FF2B5EF4-FFF2-40B4-BE49-F238E27FC236}">
              <a16:creationId xmlns:a16="http://schemas.microsoft.com/office/drawing/2014/main" xmlns="" id="{00000000-0008-0000-0D00-000032000000}"/>
            </a:ext>
          </a:extLst>
        </xdr:cNvPr>
        <xdr:cNvGrpSpPr/>
      </xdr:nvGrpSpPr>
      <xdr:grpSpPr>
        <a:xfrm>
          <a:off x="399528" y="36587251"/>
          <a:ext cx="1296731" cy="772632"/>
          <a:chOff x="11111192" y="3050754"/>
          <a:chExt cx="2680970" cy="1518657"/>
        </a:xfrm>
      </xdr:grpSpPr>
      <xdr:pic>
        <xdr:nvPicPr>
          <xdr:cNvPr id="51" name="Рисунок 50">
            <a:extLst>
              <a:ext uri="{FF2B5EF4-FFF2-40B4-BE49-F238E27FC236}">
                <a16:creationId xmlns:a16="http://schemas.microsoft.com/office/drawing/2014/main" xmlns="" id="{00000000-0008-0000-0D00-000033000000}"/>
              </a:ext>
            </a:extLst>
          </xdr:cNvPr>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Lst>
          </a:blip>
          <a:stretch>
            <a:fillRect/>
          </a:stretch>
        </xdr:blipFill>
        <xdr:spPr>
          <a:xfrm rot="19175618">
            <a:off x="11111192" y="3390337"/>
            <a:ext cx="804545" cy="1023269"/>
          </a:xfrm>
          <a:prstGeom prst="rect">
            <a:avLst/>
          </a:prstGeom>
        </xdr:spPr>
      </xdr:pic>
      <xdr:pic>
        <xdr:nvPicPr>
          <xdr:cNvPr id="52" name="Picture 5">
            <a:extLst>
              <a:ext uri="{FF2B5EF4-FFF2-40B4-BE49-F238E27FC236}">
                <a16:creationId xmlns:a16="http://schemas.microsoft.com/office/drawing/2014/main" xmlns="" id="{00000000-0008-0000-0D00-000034000000}"/>
              </a:ext>
            </a:extLst>
          </xdr:cNvPr>
          <xdr:cNvPicPr>
            <a:picLocks noChangeAspect="1" noChangeArrowheads="1"/>
          </xdr:cNvPicPr>
        </xdr:nvPicPr>
        <xdr:blipFill>
          <a:blip xmlns:r="http://schemas.openxmlformats.org/officeDocument/2006/relationships" r:embed="rId27">
            <a:extLst>
              <a:ext uri="{BEBA8EAE-BF5A-486C-A8C5-ECC9F3942E4B}">
                <a14:imgProps xmlns:a14="http://schemas.microsoft.com/office/drawing/2010/main">
                  <a14:imgLayer r:embed="rId28">
                    <a14:imgEffect>
                      <a14:backgroundRemoval t="9836" b="96721" l="9901" r="89109">
                        <a14:foregroundMark x1="27723" y1="16393" x2="14851" y2="47541"/>
                        <a14:foregroundMark x1="14851" y1="47541" x2="16832" y2="58197"/>
                        <a14:foregroundMark x1="50495" y1="93443" x2="50495" y2="96721"/>
                        <a14:foregroundMark x1="53465" y1="21311" x2="57426" y2="91803"/>
                        <a14:foregroundMark x1="70297" y1="28689" x2="24752" y2="23770"/>
                        <a14:foregroundMark x1="24752" y1="23770" x2="86139" y2="40984"/>
                        <a14:foregroundMark x1="86139" y1="40984" x2="53465" y2="64754"/>
                        <a14:foregroundMark x1="53465" y1="64754" x2="47525" y2="32787"/>
                        <a14:foregroundMark x1="47525" y1="32787" x2="51485" y2="31967"/>
                      </a14:backgroundRemoval>
                    </a14:imgEffect>
                  </a14:imgLayer>
                </a14:imgProps>
              </a:ext>
              <a:ext uri="{28A0092B-C50C-407E-A947-70E740481C1C}">
                <a14:useLocalDpi xmlns:a14="http://schemas.microsoft.com/office/drawing/2010/main"/>
              </a:ext>
            </a:extLst>
          </a:blip>
          <a:srcRect/>
          <a:stretch>
            <a:fillRect/>
          </a:stretch>
        </xdr:blipFill>
        <xdr:spPr bwMode="auto">
          <a:xfrm rot="20181458">
            <a:off x="11411282" y="3065586"/>
            <a:ext cx="926914" cy="114945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pic>
        <xdr:nvPicPr>
          <xdr:cNvPr id="53" name="Picture 4">
            <a:extLst>
              <a:ext uri="{FF2B5EF4-FFF2-40B4-BE49-F238E27FC236}">
                <a16:creationId xmlns:a16="http://schemas.microsoft.com/office/drawing/2014/main" xmlns="" id="{00000000-0008-0000-0D00-000035000000}"/>
              </a:ext>
            </a:extLst>
          </xdr:cNvPr>
          <xdr:cNvPicPr>
            <a:picLocks noChangeAspect="1" noChangeArrowheads="1"/>
          </xdr:cNvPicPr>
        </xdr:nvPicPr>
        <xdr:blipFill>
          <a:blip xmlns:r="http://schemas.openxmlformats.org/officeDocument/2006/relationships" r:embed="rId29">
            <a:extLst>
              <a:ext uri="{BEBA8EAE-BF5A-486C-A8C5-ECC9F3942E4B}">
                <a14:imgProps xmlns:a14="http://schemas.microsoft.com/office/drawing/2010/main">
                  <a14:imgLayer r:embed="rId13">
                    <a14:imgEffect>
                      <a14:backgroundRemoval t="8871" b="93548" l="9804" r="90196">
                        <a14:foregroundMark x1="47059" y1="12903" x2="91176" y2="16935"/>
                        <a14:foregroundMark x1="91176" y1="16935" x2="88235" y2="54839"/>
                        <a14:foregroundMark x1="88235" y1="54839" x2="87255" y2="57258"/>
                        <a14:foregroundMark x1="51961" y1="88710" x2="51961" y2="93548"/>
                      </a14:backgroundRemoval>
                    </a14:imgEffect>
                  </a14:imgLayer>
                </a14:imgProps>
              </a:ext>
              <a:ext uri="{28A0092B-C50C-407E-A947-70E740481C1C}">
                <a14:useLocalDpi xmlns:a14="http://schemas.microsoft.com/office/drawing/2010/main"/>
              </a:ext>
            </a:extLst>
          </a:blip>
          <a:srcRect/>
          <a:stretch>
            <a:fillRect/>
          </a:stretch>
        </xdr:blipFill>
        <xdr:spPr bwMode="auto">
          <a:xfrm rot="21552620">
            <a:off x="11881779" y="3050754"/>
            <a:ext cx="947407" cy="1151822"/>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grpSp>
        <xdr:nvGrpSpPr>
          <xdr:cNvPr id="54" name="Группа 53">
            <a:extLst>
              <a:ext uri="{FF2B5EF4-FFF2-40B4-BE49-F238E27FC236}">
                <a16:creationId xmlns:a16="http://schemas.microsoft.com/office/drawing/2014/main" xmlns="" id="{00000000-0008-0000-0D00-000036000000}"/>
              </a:ext>
            </a:extLst>
          </xdr:cNvPr>
          <xdr:cNvGrpSpPr/>
        </xdr:nvGrpSpPr>
        <xdr:grpSpPr>
          <a:xfrm rot="973284">
            <a:off x="12370066" y="3161440"/>
            <a:ext cx="940431" cy="1230136"/>
            <a:chOff x="1493451" y="1609581"/>
            <a:chExt cx="655273" cy="783758"/>
          </a:xfrm>
        </xdr:grpSpPr>
        <xdr:sp macro="" textlink="">
          <xdr:nvSpPr>
            <xdr:cNvPr id="56" name="Прямоугольник 55">
              <a:extLst>
                <a:ext uri="{FF2B5EF4-FFF2-40B4-BE49-F238E27FC236}">
                  <a16:creationId xmlns:a16="http://schemas.microsoft.com/office/drawing/2014/main" xmlns="" id="{00000000-0008-0000-0D00-000038000000}"/>
                </a:ext>
              </a:extLst>
            </xdr:cNvPr>
            <xdr:cNvSpPr/>
          </xdr:nvSpPr>
          <xdr:spPr>
            <a:xfrm>
              <a:off x="1574297" y="1706935"/>
              <a:ext cx="494199" cy="459216"/>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ru-RU"/>
              </a:defPPr>
              <a:lvl1pPr marL="0" algn="l" defTabSz="816221" rtl="0" eaLnBrk="1" latinLnBrk="0" hangingPunct="1">
                <a:defRPr sz="1600" kern="1200">
                  <a:solidFill>
                    <a:schemeClr val="lt1"/>
                  </a:solidFill>
                  <a:latin typeface="+mn-lt"/>
                  <a:ea typeface="+mn-ea"/>
                  <a:cs typeface="+mn-cs"/>
                </a:defRPr>
              </a:lvl1pPr>
              <a:lvl2pPr marL="408111" algn="l" defTabSz="816221" rtl="0" eaLnBrk="1" latinLnBrk="0" hangingPunct="1">
                <a:defRPr sz="1600" kern="1200">
                  <a:solidFill>
                    <a:schemeClr val="lt1"/>
                  </a:solidFill>
                  <a:latin typeface="+mn-lt"/>
                  <a:ea typeface="+mn-ea"/>
                  <a:cs typeface="+mn-cs"/>
                </a:defRPr>
              </a:lvl2pPr>
              <a:lvl3pPr marL="816221" algn="l" defTabSz="816221" rtl="0" eaLnBrk="1" latinLnBrk="0" hangingPunct="1">
                <a:defRPr sz="1600" kern="1200">
                  <a:solidFill>
                    <a:schemeClr val="lt1"/>
                  </a:solidFill>
                  <a:latin typeface="+mn-lt"/>
                  <a:ea typeface="+mn-ea"/>
                  <a:cs typeface="+mn-cs"/>
                </a:defRPr>
              </a:lvl3pPr>
              <a:lvl4pPr marL="1224332" algn="l" defTabSz="816221" rtl="0" eaLnBrk="1" latinLnBrk="0" hangingPunct="1">
                <a:defRPr sz="1600" kern="1200">
                  <a:solidFill>
                    <a:schemeClr val="lt1"/>
                  </a:solidFill>
                  <a:latin typeface="+mn-lt"/>
                  <a:ea typeface="+mn-ea"/>
                  <a:cs typeface="+mn-cs"/>
                </a:defRPr>
              </a:lvl4pPr>
              <a:lvl5pPr marL="1632436" algn="l" defTabSz="816221" rtl="0" eaLnBrk="1" latinLnBrk="0" hangingPunct="1">
                <a:defRPr sz="1600" kern="1200">
                  <a:solidFill>
                    <a:schemeClr val="lt1"/>
                  </a:solidFill>
                  <a:latin typeface="+mn-lt"/>
                  <a:ea typeface="+mn-ea"/>
                  <a:cs typeface="+mn-cs"/>
                </a:defRPr>
              </a:lvl5pPr>
              <a:lvl6pPr marL="2040547" algn="l" defTabSz="816221" rtl="0" eaLnBrk="1" latinLnBrk="0" hangingPunct="1">
                <a:defRPr sz="1600" kern="1200">
                  <a:solidFill>
                    <a:schemeClr val="lt1"/>
                  </a:solidFill>
                  <a:latin typeface="+mn-lt"/>
                  <a:ea typeface="+mn-ea"/>
                  <a:cs typeface="+mn-cs"/>
                </a:defRPr>
              </a:lvl6pPr>
              <a:lvl7pPr marL="2448658" algn="l" defTabSz="816221" rtl="0" eaLnBrk="1" latinLnBrk="0" hangingPunct="1">
                <a:defRPr sz="1600" kern="1200">
                  <a:solidFill>
                    <a:schemeClr val="lt1"/>
                  </a:solidFill>
                  <a:latin typeface="+mn-lt"/>
                  <a:ea typeface="+mn-ea"/>
                  <a:cs typeface="+mn-cs"/>
                </a:defRPr>
              </a:lvl7pPr>
              <a:lvl8pPr marL="2856768" algn="l" defTabSz="816221" rtl="0" eaLnBrk="1" latinLnBrk="0" hangingPunct="1">
                <a:defRPr sz="1600" kern="1200">
                  <a:solidFill>
                    <a:schemeClr val="lt1"/>
                  </a:solidFill>
                  <a:latin typeface="+mn-lt"/>
                  <a:ea typeface="+mn-ea"/>
                  <a:cs typeface="+mn-cs"/>
                </a:defRPr>
              </a:lvl8pPr>
              <a:lvl9pPr marL="3264878" algn="l" defTabSz="816221" rtl="0" eaLnBrk="1" latinLnBrk="0" hangingPunct="1">
                <a:defRPr sz="1600" kern="1200">
                  <a:solidFill>
                    <a:schemeClr val="lt1"/>
                  </a:solidFill>
                  <a:latin typeface="+mn-lt"/>
                  <a:ea typeface="+mn-ea"/>
                  <a:cs typeface="+mn-cs"/>
                </a:defRPr>
              </a:lvl9pPr>
            </a:lstStyle>
            <a:p>
              <a:pPr marL="0" marR="0" lvl="0" indent="0" algn="ctr" defTabSz="816221" rtl="0" eaLnBrk="1" fontAlgn="auto" latinLnBrk="0" hangingPunct="1">
                <a:lnSpc>
                  <a:spcPct val="100000"/>
                </a:lnSpc>
                <a:spcBef>
                  <a:spcPts val="0"/>
                </a:spcBef>
                <a:spcAft>
                  <a:spcPts val="0"/>
                </a:spcAft>
                <a:buClrTx/>
                <a:buSzTx/>
                <a:buFontTx/>
                <a:buNone/>
                <a:tabLst/>
                <a:defRPr/>
              </a:pPr>
              <a:endParaRPr kumimoji="0" lang="ru-RU" sz="1600" b="0" i="0" u="none" strike="noStrike" kern="1200" cap="none" spc="0" normalizeH="0" baseline="0">
                <a:ln>
                  <a:noFill/>
                </a:ln>
                <a:solidFill>
                  <a:prstClr val="white"/>
                </a:solidFill>
                <a:effectLst/>
                <a:uLnTx/>
                <a:uFillTx/>
                <a:latin typeface="Calibri"/>
                <a:ea typeface="+mn-ea"/>
                <a:cs typeface="+mn-cs"/>
              </a:endParaRPr>
            </a:p>
          </xdr:txBody>
        </xdr:sp>
        <xdr:pic>
          <xdr:nvPicPr>
            <xdr:cNvPr id="57" name="Picture 2">
              <a:extLst>
                <a:ext uri="{FF2B5EF4-FFF2-40B4-BE49-F238E27FC236}">
                  <a16:creationId xmlns:a16="http://schemas.microsoft.com/office/drawing/2014/main" xmlns="" id="{00000000-0008-0000-0D00-000039000000}"/>
                </a:ext>
              </a:extLst>
            </xdr:cNvPr>
            <xdr:cNvPicPr>
              <a:picLocks noChangeAspect="1" noChangeArrowheads="1"/>
            </xdr:cNvPicPr>
          </xdr:nvPicPr>
          <xdr:blipFill>
            <a:blip xmlns:r="http://schemas.openxmlformats.org/officeDocument/2006/relationships" r:embed="rId11">
              <a:clrChange>
                <a:clrFrom>
                  <a:srgbClr val="FFFFFF"/>
                </a:clrFrom>
                <a:clrTo>
                  <a:srgbClr val="FFFFFF">
                    <a:alpha val="0"/>
                  </a:srgbClr>
                </a:clrTo>
              </a:clrChange>
              <a:extLst>
                <a:ext uri="{28A0092B-C50C-407E-A947-70E740481C1C}">
                  <a14:useLocalDpi xmlns:a14="http://schemas.microsoft.com/office/drawing/2010/main"/>
                </a:ext>
              </a:extLst>
            </a:blip>
            <a:srcRect/>
            <a:stretch>
              <a:fillRect/>
            </a:stretch>
          </xdr:blipFill>
          <xdr:spPr bwMode="auto">
            <a:xfrm>
              <a:off x="1493451" y="1609581"/>
              <a:ext cx="655273" cy="783758"/>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grpSp>
      <xdr:pic>
        <xdr:nvPicPr>
          <xdr:cNvPr id="55" name="Рисунок 54">
            <a:extLst>
              <a:ext uri="{FF2B5EF4-FFF2-40B4-BE49-F238E27FC236}">
                <a16:creationId xmlns:a16="http://schemas.microsoft.com/office/drawing/2014/main" xmlns="" id="{00000000-0008-0000-0D00-000037000000}"/>
              </a:ext>
            </a:extLst>
          </xdr:cNvPr>
          <xdr:cNvPicPr>
            <a:picLocks noChangeAspect="1"/>
          </xdr:cNvPicPr>
        </xdr:nvPicPr>
        <xdr:blipFill>
          <a:blip xmlns:r="http://schemas.openxmlformats.org/officeDocument/2006/relationships" r:embed="rId30" cstate="print">
            <a:extLst>
              <a:ext uri="{28A0092B-C50C-407E-A947-70E740481C1C}">
                <a14:useLocalDpi xmlns:a14="http://schemas.microsoft.com/office/drawing/2010/main" val="0"/>
              </a:ext>
            </a:extLst>
          </a:blip>
          <a:stretch>
            <a:fillRect/>
          </a:stretch>
        </xdr:blipFill>
        <xdr:spPr>
          <a:xfrm rot="1832443">
            <a:off x="12932420" y="3468943"/>
            <a:ext cx="859742" cy="1100468"/>
          </a:xfrm>
          <a:prstGeom prst="rect">
            <a:avLst/>
          </a:prstGeom>
        </xdr:spPr>
      </xdr:pic>
    </xdr:grpSp>
    <xdr:clientData/>
  </xdr:twoCellAnchor>
  <xdr:twoCellAnchor>
    <xdr:from>
      <xdr:col>1</xdr:col>
      <xdr:colOff>1690311</xdr:colOff>
      <xdr:row>22</xdr:row>
      <xdr:rowOff>65997</xdr:rowOff>
    </xdr:from>
    <xdr:to>
      <xdr:col>4</xdr:col>
      <xdr:colOff>45073</xdr:colOff>
      <xdr:row>26</xdr:row>
      <xdr:rowOff>165910</xdr:rowOff>
    </xdr:to>
    <xdr:sp macro="" textlink="">
      <xdr:nvSpPr>
        <xdr:cNvPr id="58" name="TextBox 57">
          <a:extLst>
            <a:ext uri="{FF2B5EF4-FFF2-40B4-BE49-F238E27FC236}">
              <a16:creationId xmlns:a16="http://schemas.microsoft.com/office/drawing/2014/main" xmlns="" id="{00000000-0008-0000-0D00-00003A000000}"/>
            </a:ext>
          </a:extLst>
        </xdr:cNvPr>
        <xdr:cNvSpPr txBox="1"/>
      </xdr:nvSpPr>
      <xdr:spPr>
        <a:xfrm>
          <a:off x="1876578" y="36582730"/>
          <a:ext cx="1919228" cy="84498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latinLnBrk="0" hangingPunct="1"/>
          <a:r>
            <a:rPr lang="ru-RU" sz="1100" b="1">
              <a:solidFill>
                <a:schemeClr val="dk1"/>
              </a:solidFill>
              <a:effectLst/>
              <a:latin typeface="+mn-lt"/>
              <a:ea typeface="+mn-ea"/>
              <a:cs typeface="+mn-cs"/>
            </a:rPr>
            <a:t>Централизованное управление </a:t>
          </a:r>
        </a:p>
        <a:p>
          <a:pPr rtl="0" eaLnBrk="1" latinLnBrk="0" hangingPunct="1"/>
          <a:r>
            <a:rPr lang="ru-RU" sz="1100" b="1">
              <a:solidFill>
                <a:schemeClr val="dk1"/>
              </a:solidFill>
              <a:effectLst/>
              <a:latin typeface="+mn-lt"/>
              <a:ea typeface="+mn-ea"/>
              <a:cs typeface="+mn-cs"/>
            </a:rPr>
            <a:t>продуктовой линейкой Dallas Lock</a:t>
          </a:r>
          <a:endParaRPr lang="ru-RU" b="1">
            <a:effectLst/>
          </a:endParaRPr>
        </a:p>
        <a:p>
          <a:pPr marL="0" marR="0" lvl="0" indent="0" defTabSz="914400" rtl="0" eaLnBrk="1" fontAlgn="auto" latinLnBrk="0" hangingPunct="1">
            <a:lnSpc>
              <a:spcPct val="100000"/>
            </a:lnSpc>
            <a:spcBef>
              <a:spcPts val="0"/>
            </a:spcBef>
            <a:spcAft>
              <a:spcPts val="0"/>
            </a:spcAft>
            <a:buClrTx/>
            <a:buSzTx/>
            <a:buFontTx/>
            <a:buNone/>
            <a:tabLst/>
            <a:defRPr/>
          </a:pPr>
          <a:r>
            <a:rPr lang="ru-RU" sz="1100" b="1" i="0" cap="all">
              <a:solidFill>
                <a:schemeClr val="dk1"/>
              </a:solidFill>
              <a:effectLst/>
              <a:latin typeface="+mn-lt"/>
              <a:ea typeface="+mn-ea"/>
              <a:cs typeface="+mn-cs"/>
            </a:rPr>
            <a:t/>
          </a:r>
          <a:br>
            <a:rPr lang="ru-RU" sz="1100" b="1" i="0" cap="all">
              <a:solidFill>
                <a:schemeClr val="dk1"/>
              </a:solidFill>
              <a:effectLst/>
              <a:latin typeface="+mn-lt"/>
              <a:ea typeface="+mn-ea"/>
              <a:cs typeface="+mn-cs"/>
            </a:rPr>
          </a:br>
          <a:endParaRPr lang="ru-RU" b="1">
            <a:effectLst/>
          </a:endParaRPr>
        </a:p>
      </xdr:txBody>
    </xdr:sp>
    <xdr:clientData/>
  </xdr:twoCellAnchor>
  <xdr:twoCellAnchor>
    <xdr:from>
      <xdr:col>5</xdr:col>
      <xdr:colOff>264722</xdr:colOff>
      <xdr:row>22</xdr:row>
      <xdr:rowOff>170167</xdr:rowOff>
    </xdr:from>
    <xdr:to>
      <xdr:col>10</xdr:col>
      <xdr:colOff>266698</xdr:colOff>
      <xdr:row>26</xdr:row>
      <xdr:rowOff>21613</xdr:rowOff>
    </xdr:to>
    <xdr:sp macro="" textlink="">
      <xdr:nvSpPr>
        <xdr:cNvPr id="59" name="TextBox 58">
          <a:extLst>
            <a:ext uri="{FF2B5EF4-FFF2-40B4-BE49-F238E27FC236}">
              <a16:creationId xmlns:a16="http://schemas.microsoft.com/office/drawing/2014/main" xmlns="" id="{00000000-0008-0000-0D00-00003B000000}"/>
            </a:ext>
          </a:extLst>
        </xdr:cNvPr>
        <xdr:cNvSpPr txBox="1"/>
      </xdr:nvSpPr>
      <xdr:spPr>
        <a:xfrm>
          <a:off x="4641989" y="36686900"/>
          <a:ext cx="3134642" cy="59651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latinLnBrk="0" hangingPunct="1"/>
          <a:r>
            <a:rPr lang="ru-RU" sz="1100" b="1">
              <a:solidFill>
                <a:schemeClr val="dk1"/>
              </a:solidFill>
              <a:effectLst/>
              <a:latin typeface="+mn-lt"/>
              <a:ea typeface="+mn-ea"/>
              <a:cs typeface="+mn-cs"/>
            </a:rPr>
            <a:t>Удаленное управление компьютерами без установленных СЗИ. Осуществляется с помощью Агента ЕЦУ</a:t>
          </a:r>
          <a:endParaRPr lang="ru-RU" b="1">
            <a:effectLst/>
          </a:endParaRPr>
        </a:p>
      </xdr:txBody>
    </xdr:sp>
    <xdr:clientData/>
  </xdr:twoCellAnchor>
  <xdr:oneCellAnchor>
    <xdr:from>
      <xdr:col>4</xdr:col>
      <xdr:colOff>279598</xdr:colOff>
      <xdr:row>22</xdr:row>
      <xdr:rowOff>148179</xdr:rowOff>
    </xdr:from>
    <xdr:ext cx="574833" cy="553922"/>
    <xdr:pic>
      <xdr:nvPicPr>
        <xdr:cNvPr id="60" name="Рисунок 59">
          <a:extLst>
            <a:ext uri="{FF2B5EF4-FFF2-40B4-BE49-F238E27FC236}">
              <a16:creationId xmlns:a16="http://schemas.microsoft.com/office/drawing/2014/main" xmlns="" id="{00000000-0008-0000-0D00-00003C000000}"/>
            </a:ext>
          </a:extLst>
        </xdr:cNvPr>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val="0"/>
            </a:ext>
          </a:extLst>
        </a:blip>
        <a:stretch>
          <a:fillRect/>
        </a:stretch>
      </xdr:blipFill>
      <xdr:spPr>
        <a:xfrm>
          <a:off x="4030331" y="36664912"/>
          <a:ext cx="574833" cy="553922"/>
        </a:xfrm>
        <a:prstGeom prst="rect">
          <a:avLst/>
        </a:prstGeom>
      </xdr:spPr>
    </xdr:pic>
    <xdr:clientData/>
  </xdr:oneCellAnchor>
  <xdr:twoCellAnchor>
    <xdr:from>
      <xdr:col>11</xdr:col>
      <xdr:colOff>491064</xdr:colOff>
      <xdr:row>22</xdr:row>
      <xdr:rowOff>169084</xdr:rowOff>
    </xdr:from>
    <xdr:to>
      <xdr:col>15</xdr:col>
      <xdr:colOff>593363</xdr:colOff>
      <xdr:row>26</xdr:row>
      <xdr:rowOff>19397</xdr:rowOff>
    </xdr:to>
    <xdr:sp macro="" textlink="">
      <xdr:nvSpPr>
        <xdr:cNvPr id="61" name="TextBox 60">
          <a:extLst>
            <a:ext uri="{FF2B5EF4-FFF2-40B4-BE49-F238E27FC236}">
              <a16:creationId xmlns:a16="http://schemas.microsoft.com/office/drawing/2014/main" xmlns="" id="{00000000-0008-0000-0D00-00003D000000}"/>
            </a:ext>
          </a:extLst>
        </xdr:cNvPr>
        <xdr:cNvSpPr txBox="1"/>
      </xdr:nvSpPr>
      <xdr:spPr>
        <a:xfrm>
          <a:off x="8627531" y="36685817"/>
          <a:ext cx="2608432" cy="59538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latinLnBrk="0" hangingPunct="1"/>
          <a:r>
            <a:rPr lang="ru-RU" sz="1100" b="1">
              <a:solidFill>
                <a:schemeClr val="dk1"/>
              </a:solidFill>
              <a:effectLst/>
              <a:latin typeface="+mn-lt"/>
              <a:ea typeface="+mn-ea"/>
              <a:cs typeface="+mn-cs"/>
            </a:rPr>
            <a:t>Контроль и управление сетевым оборудованием</a:t>
          </a:r>
          <a:endParaRPr lang="ru-RU" b="1">
            <a:effectLst/>
          </a:endParaRPr>
        </a:p>
      </xdr:txBody>
    </xdr:sp>
    <xdr:clientData/>
  </xdr:twoCellAnchor>
  <xdr:oneCellAnchor>
    <xdr:from>
      <xdr:col>10</xdr:col>
      <xdr:colOff>300901</xdr:colOff>
      <xdr:row>22</xdr:row>
      <xdr:rowOff>118930</xdr:rowOff>
    </xdr:from>
    <xdr:ext cx="891938" cy="565897"/>
    <xdr:pic>
      <xdr:nvPicPr>
        <xdr:cNvPr id="62" name="Picture 6" descr="Компьютерная сеть Глобальная сеть Компьютерные иконки Компьютерное  программирование Сетевое оборудование, значок iot, синий, компьютерная сеть  png | PNGEgg">
          <a:extLst>
            <a:ext uri="{FF2B5EF4-FFF2-40B4-BE49-F238E27FC236}">
              <a16:creationId xmlns:a16="http://schemas.microsoft.com/office/drawing/2014/main" xmlns="" id="{00000000-0008-0000-0D00-00003E000000}"/>
            </a:ext>
          </a:extLst>
        </xdr:cNvPr>
        <xdr:cNvPicPr>
          <a:picLocks noChangeAspect="1" noChangeArrowheads="1"/>
        </xdr:cNvPicPr>
      </xdr:nvPicPr>
      <xdr:blipFill>
        <a:blip xmlns:r="http://schemas.openxmlformats.org/officeDocument/2006/relationships" r:embed="rId32" cstate="print">
          <a:extLst>
            <a:ext uri="{BEBA8EAE-BF5A-486C-A8C5-ECC9F3942E4B}">
              <a14:imgProps xmlns:a14="http://schemas.microsoft.com/office/drawing/2010/main">
                <a14:imgLayer r:embed="rId33">
                  <a14:imgEffect>
                    <a14:backgroundRemoval t="1333" b="99667" l="10000" r="90000">
                      <a14:foregroundMark x1="47778" y1="5667" x2="54667" y2="6333"/>
                      <a14:foregroundMark x1="66444" y1="24333" x2="51333" y2="45333"/>
                      <a14:foregroundMark x1="51333" y1="45333" x2="47778" y2="56333"/>
                      <a14:foregroundMark x1="47778" y1="56333" x2="47556" y2="60667"/>
                      <a14:foregroundMark x1="41556" y1="31667" x2="34667" y2="44167"/>
                      <a14:foregroundMark x1="34667" y1="44167" x2="31000" y2="56167"/>
                      <a14:foregroundMark x1="31000" y1="56167" x2="41556" y2="66000"/>
                      <a14:foregroundMark x1="41556" y1="66000" x2="59000" y2="60833"/>
                      <a14:foregroundMark x1="59000" y1="60833" x2="47556" y2="69167"/>
                      <a14:foregroundMark x1="47556" y1="69167" x2="46111" y2="80000"/>
                      <a14:foregroundMark x1="46111" y1="80000" x2="44444" y2="81000"/>
                      <a14:foregroundMark x1="37778" y1="88333" x2="54667" y2="93000"/>
                      <a14:foregroundMark x1="64000" y1="27667" x2="64222" y2="33000"/>
                      <a14:foregroundMark x1="62444" y1="22000" x2="67556" y2="36500"/>
                      <a14:foregroundMark x1="67556" y1="36500" x2="70444" y2="40333"/>
                      <a14:foregroundMark x1="39556" y1="30000" x2="62222" y2="65667"/>
                      <a14:foregroundMark x1="32000" y1="73000" x2="61333" y2="50333"/>
                      <a14:foregroundMark x1="61333" y1="50333" x2="62000" y2="49333"/>
                      <a14:foregroundMark x1="46889" y1="75667" x2="50444" y2="67833"/>
                      <a14:foregroundMark x1="50444" y1="67833" x2="51778" y2="66667"/>
                      <a14:foregroundMark x1="53333" y1="62667" x2="54333" y2="74000"/>
                      <a14:foregroundMark x1="54333" y1="74000" x2="52889" y2="77000"/>
                      <a14:foregroundMark x1="47778" y1="45000" x2="47778" y2="60000"/>
                      <a14:foregroundMark x1="41111" y1="58667" x2="42889" y2="63667"/>
                      <a14:foregroundMark x1="29111" y1="64667" x2="34000" y2="70500"/>
                      <a14:foregroundMark x1="34000" y1="70500" x2="39333" y2="71333"/>
                      <a14:foregroundMark x1="48000" y1="96667" x2="49778" y2="99667"/>
                      <a14:foregroundMark x1="48222" y1="1333" x2="49111" y2="1333"/>
                    </a14:backgroundRemoval>
                  </a14:imgEffect>
                </a14:imgLayer>
              </a14:imgProps>
            </a:ext>
            <a:ext uri="{28A0092B-C50C-407E-A947-70E740481C1C}">
              <a14:useLocalDpi xmlns:a14="http://schemas.microsoft.com/office/drawing/2010/main" val="0"/>
            </a:ext>
          </a:extLst>
        </a:blip>
        <a:srcRect/>
        <a:stretch>
          <a:fillRect/>
        </a:stretch>
      </xdr:blipFill>
      <xdr:spPr bwMode="auto">
        <a:xfrm>
          <a:off x="7810834" y="36635663"/>
          <a:ext cx="891938" cy="56589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67878</xdr:colOff>
      <xdr:row>31</xdr:row>
      <xdr:rowOff>20864</xdr:rowOff>
    </xdr:from>
    <xdr:to>
      <xdr:col>12</xdr:col>
      <xdr:colOff>459440</xdr:colOff>
      <xdr:row>35</xdr:row>
      <xdr:rowOff>102261</xdr:rowOff>
    </xdr:to>
    <xdr:sp macro="" textlink="">
      <xdr:nvSpPr>
        <xdr:cNvPr id="63" name="TextBox 62">
          <a:extLst>
            <a:ext uri="{FF2B5EF4-FFF2-40B4-BE49-F238E27FC236}">
              <a16:creationId xmlns:a16="http://schemas.microsoft.com/office/drawing/2014/main" xmlns="" id="{00000000-0008-0000-0D00-00003F000000}"/>
            </a:ext>
          </a:extLst>
        </xdr:cNvPr>
        <xdr:cNvSpPr txBox="1"/>
      </xdr:nvSpPr>
      <xdr:spPr>
        <a:xfrm>
          <a:off x="4944678" y="5926364"/>
          <a:ext cx="2829962" cy="84339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ru-RU" sz="1100" b="1" i="0" baseline="0">
              <a:solidFill>
                <a:schemeClr val="dk1"/>
              </a:solidFill>
              <a:effectLst/>
              <a:latin typeface="+mn-lt"/>
              <a:ea typeface="+mn-ea"/>
              <a:cs typeface="+mn-cs"/>
            </a:rPr>
            <a:t>Службы каталогов: </a:t>
          </a:r>
          <a:r>
            <a:rPr lang="en-US" sz="1100" b="1" i="0" baseline="0">
              <a:solidFill>
                <a:schemeClr val="dk1"/>
              </a:solidFill>
              <a:effectLst/>
              <a:latin typeface="+mn-lt"/>
              <a:ea typeface="+mn-ea"/>
              <a:cs typeface="+mn-cs"/>
            </a:rPr>
            <a:t>Active Directory, FreeIPA, Samba, ALD Pro, </a:t>
          </a:r>
          <a:r>
            <a:rPr lang="ru-RU" sz="1100" b="1" i="0" baseline="0">
              <a:solidFill>
                <a:schemeClr val="dk1"/>
              </a:solidFill>
              <a:effectLst/>
              <a:latin typeface="+mn-lt"/>
              <a:ea typeface="+mn-ea"/>
              <a:cs typeface="+mn-cs"/>
            </a:rPr>
            <a:t>РЕД АДМ;</a:t>
          </a:r>
          <a:endParaRPr lang="ru-RU">
            <a:effectLst/>
          </a:endParaRPr>
        </a:p>
        <a:p>
          <a:r>
            <a:rPr lang="ru-RU" sz="1100" b="1" i="0" baseline="0">
              <a:solidFill>
                <a:schemeClr val="dk1"/>
              </a:solidFill>
              <a:effectLst/>
              <a:latin typeface="+mn-lt"/>
              <a:ea typeface="+mn-ea"/>
              <a:cs typeface="+mn-cs"/>
            </a:rPr>
            <a:t>СУБД: </a:t>
          </a:r>
          <a:r>
            <a:rPr lang="en-US" sz="1100" b="1" i="0" baseline="0">
              <a:solidFill>
                <a:schemeClr val="dk1"/>
              </a:solidFill>
              <a:effectLst/>
              <a:latin typeface="+mn-lt"/>
              <a:ea typeface="+mn-ea"/>
              <a:cs typeface="+mn-cs"/>
            </a:rPr>
            <a:t>PostgreSQL, ProximaDB, Tantor </a:t>
          </a:r>
          <a:r>
            <a:rPr lang="ru-RU" sz="1100" b="1" i="0" baseline="0">
              <a:solidFill>
                <a:schemeClr val="dk1"/>
              </a:solidFill>
              <a:effectLst/>
              <a:latin typeface="+mn-lt"/>
              <a:ea typeface="+mn-ea"/>
              <a:cs typeface="+mn-cs"/>
            </a:rPr>
            <a:t>и </a:t>
          </a:r>
          <a:r>
            <a:rPr lang="en-US" sz="1100" b="1" i="0" baseline="0">
              <a:solidFill>
                <a:schemeClr val="dk1"/>
              </a:solidFill>
              <a:effectLst/>
              <a:latin typeface="+mn-lt"/>
              <a:ea typeface="+mn-ea"/>
              <a:cs typeface="+mn-cs"/>
            </a:rPr>
            <a:t>Jatoba (</a:t>
          </a:r>
          <a:r>
            <a:rPr lang="ru-RU" sz="1100" b="1" i="0" baseline="0">
              <a:solidFill>
                <a:schemeClr val="dk1"/>
              </a:solidFill>
              <a:effectLst/>
              <a:latin typeface="+mn-lt"/>
              <a:ea typeface="+mn-ea"/>
              <a:cs typeface="+mn-cs"/>
            </a:rPr>
            <a:t>сертифицированная ФСТЭК России)</a:t>
          </a:r>
          <a:endParaRPr lang="ru-RU">
            <a:effectLst/>
          </a:endParaRPr>
        </a:p>
      </xdr:txBody>
    </xdr:sp>
    <xdr:clientData/>
  </xdr:twoCellAnchor>
  <xdr:twoCellAnchor>
    <xdr:from>
      <xdr:col>9</xdr:col>
      <xdr:colOff>65783</xdr:colOff>
      <xdr:row>27</xdr:row>
      <xdr:rowOff>156908</xdr:rowOff>
    </xdr:from>
    <xdr:to>
      <xdr:col>11</xdr:col>
      <xdr:colOff>353727</xdr:colOff>
      <xdr:row>31</xdr:row>
      <xdr:rowOff>45201</xdr:rowOff>
    </xdr:to>
    <xdr:grpSp>
      <xdr:nvGrpSpPr>
        <xdr:cNvPr id="64" name="Группа 63">
          <a:extLst>
            <a:ext uri="{FF2B5EF4-FFF2-40B4-BE49-F238E27FC236}">
              <a16:creationId xmlns:a16="http://schemas.microsoft.com/office/drawing/2014/main" xmlns="" id="{00000000-0008-0000-0D00-000040000000}"/>
            </a:ext>
          </a:extLst>
        </xdr:cNvPr>
        <xdr:cNvGrpSpPr/>
      </xdr:nvGrpSpPr>
      <xdr:grpSpPr>
        <a:xfrm>
          <a:off x="6761858" y="37694933"/>
          <a:ext cx="1507144" cy="650293"/>
          <a:chOff x="11395315" y="10041418"/>
          <a:chExt cx="3859003" cy="1572129"/>
        </a:xfrm>
      </xdr:grpSpPr>
      <xdr:pic>
        <xdr:nvPicPr>
          <xdr:cNvPr id="65" name="Picture 8" descr="Kaspersky TOTAL Security Plus для бизнеса купить по доступным ценам в  Москве с доставкой по РФ">
            <a:extLst>
              <a:ext uri="{FF2B5EF4-FFF2-40B4-BE49-F238E27FC236}">
                <a16:creationId xmlns:a16="http://schemas.microsoft.com/office/drawing/2014/main" xmlns="" id="{00000000-0008-0000-0D00-000041000000}"/>
              </a:ext>
            </a:extLst>
          </xdr:cNvPr>
          <xdr:cNvPicPr>
            <a:picLocks noChangeAspect="1" noChangeArrowheads="1"/>
          </xdr:cNvPicPr>
        </xdr:nvPicPr>
        <xdr:blipFill>
          <a:blip xmlns:r="http://schemas.openxmlformats.org/officeDocument/2006/relationships" r:embed="rId34" cstate="print">
            <a:extLst>
              <a:ext uri="{28A0092B-C50C-407E-A947-70E740481C1C}">
                <a14:useLocalDpi xmlns:a14="http://schemas.microsoft.com/office/drawing/2010/main" val="0"/>
              </a:ext>
            </a:extLst>
          </a:blip>
          <a:srcRect/>
          <a:stretch>
            <a:fillRect/>
          </a:stretch>
        </xdr:blipFill>
        <xdr:spPr bwMode="auto">
          <a:xfrm>
            <a:off x="14009015" y="10041418"/>
            <a:ext cx="903822" cy="1005049"/>
          </a:xfrm>
          <a:prstGeom prst="rect">
            <a:avLst/>
          </a:prstGeom>
          <a:noFill/>
          <a:extLst>
            <a:ext uri="{909E8E84-426E-40DD-AFC4-6F175D3DCCD1}">
              <a14:hiddenFill xmlns:a14="http://schemas.microsoft.com/office/drawing/2010/main">
                <a:solidFill>
                  <a:srgbClr val="FFFFFF"/>
                </a:solidFill>
              </a14:hiddenFill>
            </a:ext>
          </a:extLst>
        </xdr:spPr>
      </xdr:pic>
      <xdr:pic>
        <xdr:nvPicPr>
          <xdr:cNvPr id="66" name="Рисунок 65">
            <a:extLst>
              <a:ext uri="{FF2B5EF4-FFF2-40B4-BE49-F238E27FC236}">
                <a16:creationId xmlns:a16="http://schemas.microsoft.com/office/drawing/2014/main" xmlns="" id="{00000000-0008-0000-0D00-000042000000}"/>
              </a:ext>
            </a:extLst>
          </xdr:cNvPr>
          <xdr:cNvPicPr>
            <a:picLocks noChangeAspect="1"/>
          </xdr:cNvPicPr>
        </xdr:nvPicPr>
        <xdr:blipFill>
          <a:blip xmlns:r="http://schemas.openxmlformats.org/officeDocument/2006/relationships" r:embed="rId35"/>
          <a:stretch>
            <a:fillRect/>
          </a:stretch>
        </xdr:blipFill>
        <xdr:spPr>
          <a:xfrm>
            <a:off x="11925246" y="10205959"/>
            <a:ext cx="1783750" cy="472167"/>
          </a:xfrm>
          <a:prstGeom prst="rect">
            <a:avLst/>
          </a:prstGeom>
        </xdr:spPr>
      </xdr:pic>
      <xdr:pic>
        <xdr:nvPicPr>
          <xdr:cNvPr id="67" name="Рисунок 66">
            <a:extLst>
              <a:ext uri="{FF2B5EF4-FFF2-40B4-BE49-F238E27FC236}">
                <a16:creationId xmlns:a16="http://schemas.microsoft.com/office/drawing/2014/main" xmlns="" id="{00000000-0008-0000-0D00-000043000000}"/>
              </a:ext>
            </a:extLst>
          </xdr:cNvPr>
          <xdr:cNvPicPr>
            <a:picLocks noChangeAspect="1"/>
          </xdr:cNvPicPr>
        </xdr:nvPicPr>
        <xdr:blipFill rotWithShape="1">
          <a:blip xmlns:r="http://schemas.openxmlformats.org/officeDocument/2006/relationships" r:embed="rId36"/>
          <a:srcRect l="-1" t="28518" r="-1944" b="33865"/>
          <a:stretch/>
        </xdr:blipFill>
        <xdr:spPr>
          <a:xfrm>
            <a:off x="11395315" y="10878036"/>
            <a:ext cx="1959063" cy="712266"/>
          </a:xfrm>
          <a:prstGeom prst="rect">
            <a:avLst/>
          </a:prstGeom>
        </xdr:spPr>
      </xdr:pic>
      <xdr:pic>
        <xdr:nvPicPr>
          <xdr:cNvPr id="68" name="Рисунок 67">
            <a:extLst>
              <a:ext uri="{FF2B5EF4-FFF2-40B4-BE49-F238E27FC236}">
                <a16:creationId xmlns:a16="http://schemas.microsoft.com/office/drawing/2014/main" xmlns="" id="{00000000-0008-0000-0D00-000044000000}"/>
              </a:ext>
            </a:extLst>
          </xdr:cNvPr>
          <xdr:cNvPicPr>
            <a:picLocks noChangeAspect="1"/>
          </xdr:cNvPicPr>
        </xdr:nvPicPr>
        <xdr:blipFill rotWithShape="1">
          <a:blip xmlns:r="http://schemas.openxmlformats.org/officeDocument/2006/relationships" r:embed="rId37" cstate="print">
            <a:extLst>
              <a:ext uri="{BEBA8EAE-BF5A-486C-A8C5-ECC9F3942E4B}">
                <a14:imgProps xmlns:a14="http://schemas.microsoft.com/office/drawing/2010/main">
                  <a14:imgLayer r:embed="rId38">
                    <a14:imgEffect>
                      <a14:backgroundRemoval t="10000" b="90000" l="10000" r="90000">
                        <a14:foregroundMark x1="27250" y1="41333" x2="27250" y2="41333"/>
                        <a14:foregroundMark x1="14750" y1="63667" x2="14750" y2="63667"/>
                        <a14:foregroundMark x1="31250" y1="55667" x2="31250" y2="55667"/>
                        <a14:foregroundMark x1="35250" y1="54667" x2="35250" y2="54667"/>
                        <a14:foregroundMark x1="51000" y1="54667" x2="51000" y2="54667"/>
                        <a14:foregroundMark x1="58750" y1="55333" x2="58750" y2="55333"/>
                        <a14:foregroundMark x1="68500" y1="57333" x2="68500" y2="57333"/>
                        <a14:foregroundMark x1="78500" y1="54667" x2="78500" y2="54667"/>
                      </a14:backgroundRemoval>
                    </a14:imgEffect>
                  </a14:imgLayer>
                </a14:imgProps>
              </a:ext>
              <a:ext uri="{28A0092B-C50C-407E-A947-70E740481C1C}">
                <a14:useLocalDpi xmlns:a14="http://schemas.microsoft.com/office/drawing/2010/main" val="0"/>
              </a:ext>
            </a:extLst>
          </a:blip>
          <a:srcRect l="8421" t="31411" r="4880" b="27471"/>
          <a:stretch/>
        </xdr:blipFill>
        <xdr:spPr>
          <a:xfrm>
            <a:off x="13374182" y="10944792"/>
            <a:ext cx="1880136" cy="668755"/>
          </a:xfrm>
          <a:prstGeom prst="rect">
            <a:avLst/>
          </a:prstGeom>
        </xdr:spPr>
      </xdr:pic>
    </xdr:grpSp>
    <xdr:clientData/>
  </xdr:twoCellAnchor>
  <xdr:twoCellAnchor>
    <xdr:from>
      <xdr:col>18</xdr:col>
      <xdr:colOff>323636</xdr:colOff>
      <xdr:row>41</xdr:row>
      <xdr:rowOff>130996</xdr:rowOff>
    </xdr:from>
    <xdr:to>
      <xdr:col>28</xdr:col>
      <xdr:colOff>88187</xdr:colOff>
      <xdr:row>42</xdr:row>
      <xdr:rowOff>95959</xdr:rowOff>
    </xdr:to>
    <xdr:sp macro="" textlink="">
      <xdr:nvSpPr>
        <xdr:cNvPr id="69" name="Прямоугольник 68">
          <a:hlinkClick xmlns:r="http://schemas.openxmlformats.org/officeDocument/2006/relationships" r:id="rId8"/>
          <a:extLst>
            <a:ext uri="{FF2B5EF4-FFF2-40B4-BE49-F238E27FC236}">
              <a16:creationId xmlns:a16="http://schemas.microsoft.com/office/drawing/2014/main" xmlns="" id="{00000000-0008-0000-0D00-000045000000}"/>
            </a:ext>
          </a:extLst>
        </xdr:cNvPr>
        <xdr:cNvSpPr/>
      </xdr:nvSpPr>
      <xdr:spPr>
        <a:xfrm>
          <a:off x="11296436" y="7941496"/>
          <a:ext cx="5860551" cy="15546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oneCellAnchor>
    <xdr:from>
      <xdr:col>15</xdr:col>
      <xdr:colOff>341789</xdr:colOff>
      <xdr:row>14</xdr:row>
      <xdr:rowOff>207699</xdr:rowOff>
    </xdr:from>
    <xdr:ext cx="185759" cy="185759"/>
    <xdr:pic>
      <xdr:nvPicPr>
        <xdr:cNvPr id="70" name="Рисунок 69">
          <a:extLst>
            <a:ext uri="{FF2B5EF4-FFF2-40B4-BE49-F238E27FC236}">
              <a16:creationId xmlns:a16="http://schemas.microsoft.com/office/drawing/2014/main" xmlns="" id="{00000000-0008-0000-0D00-000046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9485789" y="2855649"/>
          <a:ext cx="185759" cy="185759"/>
        </a:xfrm>
        <a:prstGeom prst="rect">
          <a:avLst/>
        </a:prstGeom>
      </xdr:spPr>
    </xdr:pic>
    <xdr:clientData/>
  </xdr:oneCellAnchor>
  <xdr:twoCellAnchor>
    <xdr:from>
      <xdr:col>17</xdr:col>
      <xdr:colOff>535112</xdr:colOff>
      <xdr:row>12</xdr:row>
      <xdr:rowOff>4505646</xdr:rowOff>
    </xdr:from>
    <xdr:to>
      <xdr:col>27</xdr:col>
      <xdr:colOff>299662</xdr:colOff>
      <xdr:row>12</xdr:row>
      <xdr:rowOff>4663249</xdr:rowOff>
    </xdr:to>
    <xdr:sp macro="" textlink="">
      <xdr:nvSpPr>
        <xdr:cNvPr id="71" name="Прямоугольник 70">
          <a:hlinkClick xmlns:r="http://schemas.openxmlformats.org/officeDocument/2006/relationships" r:id="rId8"/>
          <a:extLst>
            <a:ext uri="{FF2B5EF4-FFF2-40B4-BE49-F238E27FC236}">
              <a16:creationId xmlns:a16="http://schemas.microsoft.com/office/drawing/2014/main" xmlns="" id="{00000000-0008-0000-0D00-000047000000}"/>
            </a:ext>
          </a:extLst>
        </xdr:cNvPr>
        <xdr:cNvSpPr/>
      </xdr:nvSpPr>
      <xdr:spPr>
        <a:xfrm>
          <a:off x="10898312" y="2476821"/>
          <a:ext cx="5860550" cy="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oneCellAnchor>
    <xdr:from>
      <xdr:col>1</xdr:col>
      <xdr:colOff>1</xdr:colOff>
      <xdr:row>14</xdr:row>
      <xdr:rowOff>0</xdr:rowOff>
    </xdr:from>
    <xdr:ext cx="422090" cy="513708"/>
    <xdr:pic>
      <xdr:nvPicPr>
        <xdr:cNvPr id="72" name="Picture 2">
          <a:extLst>
            <a:ext uri="{FF2B5EF4-FFF2-40B4-BE49-F238E27FC236}">
              <a16:creationId xmlns:a16="http://schemas.microsoft.com/office/drawing/2014/main" xmlns="" id="{00000000-0008-0000-0D00-000048000000}"/>
            </a:ext>
          </a:extLst>
        </xdr:cNvPr>
        <xdr:cNvPicPr>
          <a:picLocks noChangeAspect="1" noChangeArrowheads="1"/>
        </xdr:cNvPicPr>
      </xdr:nvPicPr>
      <xdr:blipFill>
        <a:blip xmlns:r="http://schemas.openxmlformats.org/officeDocument/2006/relationships" r:embed="rId39"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609601" y="2667000"/>
          <a:ext cx="422090" cy="513708"/>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oneCellAnchor>
  <xdr:oneCellAnchor>
    <xdr:from>
      <xdr:col>15</xdr:col>
      <xdr:colOff>311399</xdr:colOff>
      <xdr:row>11</xdr:row>
      <xdr:rowOff>210875</xdr:rowOff>
    </xdr:from>
    <xdr:ext cx="185759" cy="185759"/>
    <xdr:pic>
      <xdr:nvPicPr>
        <xdr:cNvPr id="73" name="Рисунок 72">
          <a:extLst>
            <a:ext uri="{FF2B5EF4-FFF2-40B4-BE49-F238E27FC236}">
              <a16:creationId xmlns:a16="http://schemas.microsoft.com/office/drawing/2014/main" xmlns="" id="{00000000-0008-0000-0D00-000049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9455399" y="2287325"/>
          <a:ext cx="185759" cy="185759"/>
        </a:xfrm>
        <a:prstGeom prst="rect">
          <a:avLst/>
        </a:prstGeom>
      </xdr:spPr>
    </xdr:pic>
    <xdr:clientData/>
  </xdr:oneCellAnchor>
  <xdr:oneCellAnchor>
    <xdr:from>
      <xdr:col>1</xdr:col>
      <xdr:colOff>1</xdr:colOff>
      <xdr:row>11</xdr:row>
      <xdr:rowOff>0</xdr:rowOff>
    </xdr:from>
    <xdr:ext cx="422090" cy="513708"/>
    <xdr:pic>
      <xdr:nvPicPr>
        <xdr:cNvPr id="74" name="Picture 2">
          <a:extLst>
            <a:ext uri="{FF2B5EF4-FFF2-40B4-BE49-F238E27FC236}">
              <a16:creationId xmlns:a16="http://schemas.microsoft.com/office/drawing/2014/main" xmlns="" id="{00000000-0008-0000-0D00-00004A000000}"/>
            </a:ext>
          </a:extLst>
        </xdr:cNvPr>
        <xdr:cNvPicPr>
          <a:picLocks noChangeAspect="1" noChangeArrowheads="1"/>
        </xdr:cNvPicPr>
      </xdr:nvPicPr>
      <xdr:blipFill>
        <a:blip xmlns:r="http://schemas.openxmlformats.org/officeDocument/2006/relationships" r:embed="rId39"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609601" y="2095500"/>
          <a:ext cx="422090" cy="513708"/>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oneCellAnchor>
  <xdr:twoCellAnchor>
    <xdr:from>
      <xdr:col>1</xdr:col>
      <xdr:colOff>703567</xdr:colOff>
      <xdr:row>12</xdr:row>
      <xdr:rowOff>790391</xdr:rowOff>
    </xdr:from>
    <xdr:to>
      <xdr:col>3</xdr:col>
      <xdr:colOff>139129</xdr:colOff>
      <xdr:row>12</xdr:row>
      <xdr:rowOff>1669046</xdr:rowOff>
    </xdr:to>
    <xdr:sp macro="" textlink="">
      <xdr:nvSpPr>
        <xdr:cNvPr id="75" name="TextBox 74">
          <a:extLst>
            <a:ext uri="{FF2B5EF4-FFF2-40B4-BE49-F238E27FC236}">
              <a16:creationId xmlns:a16="http://schemas.microsoft.com/office/drawing/2014/main" xmlns="" id="{00000000-0008-0000-0D00-00004B000000}"/>
            </a:ext>
          </a:extLst>
        </xdr:cNvPr>
        <xdr:cNvSpPr txBox="1"/>
      </xdr:nvSpPr>
      <xdr:spPr>
        <a:xfrm>
          <a:off x="1217917" y="2476316"/>
          <a:ext cx="750012" cy="235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latinLnBrk="0" hangingPunct="1"/>
          <a:r>
            <a:rPr lang="ru-RU" b="1"/>
            <a:t>Интеграция с учётными записями и правами </a:t>
          </a:r>
          <a:r>
            <a:rPr lang="en-US" b="1"/>
            <a:t>Active Directory, </a:t>
          </a:r>
          <a:r>
            <a:rPr lang="ru-RU" b="1"/>
            <a:t>но корректно работает и вне </a:t>
          </a:r>
          <a:r>
            <a:rPr lang="en-US" b="1"/>
            <a:t>Windows </a:t>
          </a:r>
          <a:r>
            <a:rPr lang="ru-RU" b="1"/>
            <a:t>доменов</a:t>
          </a:r>
          <a:endParaRPr lang="ru-RU" b="1">
            <a:effectLst/>
          </a:endParaRPr>
        </a:p>
      </xdr:txBody>
    </xdr:sp>
    <xdr:clientData/>
  </xdr:twoCellAnchor>
  <xdr:twoCellAnchor>
    <xdr:from>
      <xdr:col>13</xdr:col>
      <xdr:colOff>320856</xdr:colOff>
      <xdr:row>12</xdr:row>
      <xdr:rowOff>846977</xdr:rowOff>
    </xdr:from>
    <xdr:to>
      <xdr:col>16</xdr:col>
      <xdr:colOff>508000</xdr:colOff>
      <xdr:row>12</xdr:row>
      <xdr:rowOff>1723062</xdr:rowOff>
    </xdr:to>
    <xdr:sp macro="" textlink="">
      <xdr:nvSpPr>
        <xdr:cNvPr id="76" name="TextBox 75">
          <a:extLst>
            <a:ext uri="{FF2B5EF4-FFF2-40B4-BE49-F238E27FC236}">
              <a16:creationId xmlns:a16="http://schemas.microsoft.com/office/drawing/2014/main" xmlns="" id="{00000000-0008-0000-0D00-00004C000000}"/>
            </a:ext>
          </a:extLst>
        </xdr:cNvPr>
        <xdr:cNvSpPr txBox="1"/>
      </xdr:nvSpPr>
      <xdr:spPr>
        <a:xfrm>
          <a:off x="9655356" y="19808077"/>
          <a:ext cx="2054044" cy="87608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latinLnBrk="0" hangingPunct="1"/>
          <a:r>
            <a:rPr lang="ru-RU" b="1"/>
            <a:t>Объединение защищенных ПК для централизованного управления механизмами безопасности</a:t>
          </a:r>
          <a:endParaRPr lang="ru-RU" b="1">
            <a:effectLst/>
          </a:endParaRPr>
        </a:p>
      </xdr:txBody>
    </xdr:sp>
    <xdr:clientData/>
  </xdr:twoCellAnchor>
  <xdr:twoCellAnchor>
    <xdr:from>
      <xdr:col>8</xdr:col>
      <xdr:colOff>462559</xdr:colOff>
      <xdr:row>12</xdr:row>
      <xdr:rowOff>838842</xdr:rowOff>
    </xdr:from>
    <xdr:to>
      <xdr:col>12</xdr:col>
      <xdr:colOff>171237</xdr:colOff>
      <xdr:row>12</xdr:row>
      <xdr:rowOff>1723062</xdr:rowOff>
    </xdr:to>
    <xdr:sp macro="" textlink="">
      <xdr:nvSpPr>
        <xdr:cNvPr id="77" name="TextBox 76">
          <a:extLst>
            <a:ext uri="{FF2B5EF4-FFF2-40B4-BE49-F238E27FC236}">
              <a16:creationId xmlns:a16="http://schemas.microsoft.com/office/drawing/2014/main" xmlns="" id="{00000000-0008-0000-0D00-00004D000000}"/>
            </a:ext>
          </a:extLst>
        </xdr:cNvPr>
        <xdr:cNvSpPr txBox="1"/>
      </xdr:nvSpPr>
      <xdr:spPr>
        <a:xfrm>
          <a:off x="5339359" y="2477142"/>
          <a:ext cx="2147078" cy="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ru-RU" sz="1100" b="1" i="0">
              <a:solidFill>
                <a:schemeClr val="dk1"/>
              </a:solidFill>
              <a:effectLst/>
              <a:latin typeface="+mn-lt"/>
              <a:ea typeface="+mn-ea"/>
              <a:cs typeface="+mn-cs"/>
            </a:rPr>
            <a:t>Дискреционный принцип разграничения доступа к информационным ресурсам и подключаемым устройствам</a:t>
          </a:r>
          <a:endParaRPr lang="ru-RU" sz="1100" b="1">
            <a:effectLst/>
          </a:endParaRPr>
        </a:p>
      </xdr:txBody>
    </xdr:sp>
    <xdr:clientData/>
  </xdr:twoCellAnchor>
  <xdr:oneCellAnchor>
    <xdr:from>
      <xdr:col>0</xdr:col>
      <xdr:colOff>96319</xdr:colOff>
      <xdr:row>12</xdr:row>
      <xdr:rowOff>770561</xdr:rowOff>
    </xdr:from>
    <xdr:ext cx="862658" cy="669888"/>
    <xdr:pic>
      <xdr:nvPicPr>
        <xdr:cNvPr id="78" name="Рисунок 77">
          <a:extLst>
            <a:ext uri="{FF2B5EF4-FFF2-40B4-BE49-F238E27FC236}">
              <a16:creationId xmlns:a16="http://schemas.microsoft.com/office/drawing/2014/main" xmlns="" id="{00000000-0008-0000-0D00-00004E000000}"/>
            </a:ext>
          </a:extLst>
        </xdr:cNvPr>
        <xdr:cNvPicPr>
          <a:picLocks noChangeAspect="1"/>
        </xdr:cNvPicPr>
      </xdr:nvPicPr>
      <xdr:blipFill>
        <a:blip xmlns:r="http://schemas.openxmlformats.org/officeDocument/2006/relationships" r:embed="rId40">
          <a:extLst>
            <a:ext uri="{28A0092B-C50C-407E-A947-70E740481C1C}">
              <a14:useLocalDpi xmlns:a14="http://schemas.microsoft.com/office/drawing/2010/main" val="0"/>
            </a:ext>
          </a:extLst>
        </a:blip>
        <a:stretch>
          <a:fillRect/>
        </a:stretch>
      </xdr:blipFill>
      <xdr:spPr>
        <a:xfrm>
          <a:off x="96319" y="2475536"/>
          <a:ext cx="862658" cy="669888"/>
        </a:xfrm>
        <a:prstGeom prst="rect">
          <a:avLst/>
        </a:prstGeom>
      </xdr:spPr>
    </xdr:pic>
    <xdr:clientData/>
  </xdr:oneCellAnchor>
  <xdr:oneCellAnchor>
    <xdr:from>
      <xdr:col>1</xdr:col>
      <xdr:colOff>11204</xdr:colOff>
      <xdr:row>18</xdr:row>
      <xdr:rowOff>358592</xdr:rowOff>
    </xdr:from>
    <xdr:ext cx="722033" cy="708606"/>
    <xdr:pic>
      <xdr:nvPicPr>
        <xdr:cNvPr id="79" name="Рисунок 78">
          <a:extLst>
            <a:ext uri="{FF2B5EF4-FFF2-40B4-BE49-F238E27FC236}">
              <a16:creationId xmlns:a16="http://schemas.microsoft.com/office/drawing/2014/main" xmlns="" id="{00000000-0008-0000-0D00-00004F000000}"/>
            </a:ext>
          </a:extLst>
        </xdr:cNvPr>
        <xdr:cNvPicPr>
          <a:picLocks noChangeAspect="1"/>
        </xdr:cNvPicPr>
      </xdr:nvPicPr>
      <xdr:blipFill rotWithShape="1">
        <a:blip xmlns:r="http://schemas.openxmlformats.org/officeDocument/2006/relationships" r:embed="rId41">
          <a:extLst>
            <a:ext uri="{28A0092B-C50C-407E-A947-70E740481C1C}">
              <a14:useLocalDpi xmlns:a14="http://schemas.microsoft.com/office/drawing/2010/main" val="0"/>
            </a:ext>
          </a:extLst>
        </a:blip>
        <a:srcRect l="18095" t="12307"/>
        <a:stretch/>
      </xdr:blipFill>
      <xdr:spPr>
        <a:xfrm>
          <a:off x="620804" y="3616142"/>
          <a:ext cx="722033" cy="708606"/>
        </a:xfrm>
        <a:prstGeom prst="rect">
          <a:avLst/>
        </a:prstGeom>
      </xdr:spPr>
    </xdr:pic>
    <xdr:clientData/>
  </xdr:oneCellAnchor>
  <xdr:twoCellAnchor>
    <xdr:from>
      <xdr:col>1</xdr:col>
      <xdr:colOff>876981</xdr:colOff>
      <xdr:row>15</xdr:row>
      <xdr:rowOff>1576048</xdr:rowOff>
    </xdr:from>
    <xdr:to>
      <xdr:col>9</xdr:col>
      <xdr:colOff>586153</xdr:colOff>
      <xdr:row>15</xdr:row>
      <xdr:rowOff>2151533</xdr:rowOff>
    </xdr:to>
    <xdr:sp macro="" textlink="">
      <xdr:nvSpPr>
        <xdr:cNvPr id="80" name="TextBox 79">
          <a:extLst>
            <a:ext uri="{FF2B5EF4-FFF2-40B4-BE49-F238E27FC236}">
              <a16:creationId xmlns:a16="http://schemas.microsoft.com/office/drawing/2014/main" xmlns="" id="{00000000-0008-0000-0D00-000050000000}"/>
            </a:ext>
          </a:extLst>
        </xdr:cNvPr>
        <xdr:cNvSpPr txBox="1"/>
      </xdr:nvSpPr>
      <xdr:spPr>
        <a:xfrm>
          <a:off x="1219881" y="3052423"/>
          <a:ext cx="4852672" cy="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600"/>
            </a:spcBef>
            <a:spcAft>
              <a:spcPts val="0"/>
            </a:spcAft>
            <a:buClrTx/>
            <a:buSzTx/>
            <a:buFont typeface="Wingdings" panose="05000000000000000000" pitchFamily="2" charset="2"/>
            <a:buNone/>
            <a:tabLst/>
            <a:defRPr/>
          </a:pPr>
          <a:r>
            <a:rPr lang="ru-RU" sz="1100" b="1" i="0" baseline="0">
              <a:solidFill>
                <a:schemeClr val="dk1"/>
              </a:solidFill>
              <a:effectLst/>
              <a:latin typeface="+mn-lt"/>
              <a:ea typeface="+mn-ea"/>
              <a:cs typeface="+mn-cs"/>
            </a:rPr>
            <a:t>Авторизация пользователей до загрузки ОС — </a:t>
          </a:r>
          <a:r>
            <a:rPr lang="ru-RU" sz="1100" b="0" i="0" baseline="0">
              <a:solidFill>
                <a:schemeClr val="dk1"/>
              </a:solidFill>
              <a:effectLst/>
              <a:latin typeface="+mn-lt"/>
              <a:ea typeface="+mn-ea"/>
              <a:cs typeface="+mn-cs"/>
            </a:rPr>
            <a:t>позволяет авторизовать пользователя с помощью </a:t>
          </a:r>
          <a:r>
            <a:rPr lang="en-US" sz="1100" b="0" i="0" baseline="0">
              <a:solidFill>
                <a:schemeClr val="dk1"/>
              </a:solidFill>
              <a:effectLst/>
              <a:latin typeface="+mn-lt"/>
              <a:ea typeface="+mn-ea"/>
              <a:cs typeface="+mn-cs"/>
            </a:rPr>
            <a:t>PIN-</a:t>
          </a:r>
          <a:r>
            <a:rPr lang="ru-RU" sz="1100" b="0" i="0" baseline="0">
              <a:solidFill>
                <a:schemeClr val="dk1"/>
              </a:solidFill>
              <a:effectLst/>
              <a:latin typeface="+mn-lt"/>
              <a:ea typeface="+mn-ea"/>
              <a:cs typeface="+mn-cs"/>
            </a:rPr>
            <a:t>кода до запуска операционной системы, обеспечивая высокий уровень защиты</a:t>
          </a:r>
        </a:p>
        <a:p>
          <a:pPr marL="0" marR="0" lvl="0" indent="0" algn="l" defTabSz="914400" eaLnBrk="1" fontAlgn="auto" latinLnBrk="0" hangingPunct="1">
            <a:lnSpc>
              <a:spcPct val="100000"/>
            </a:lnSpc>
            <a:spcBef>
              <a:spcPts val="600"/>
            </a:spcBef>
            <a:spcAft>
              <a:spcPts val="0"/>
            </a:spcAft>
            <a:buClrTx/>
            <a:buSzTx/>
            <a:buFont typeface="Wingdings" panose="05000000000000000000" pitchFamily="2" charset="2"/>
            <a:buNone/>
            <a:tabLst/>
            <a:defRPr/>
          </a:pPr>
          <a:endParaRPr lang="ru-RU" sz="1100" b="0" i="0" baseline="0">
            <a:solidFill>
              <a:schemeClr val="dk1"/>
            </a:solidFill>
            <a:effectLst/>
            <a:latin typeface="+mn-lt"/>
            <a:ea typeface="+mn-ea"/>
            <a:cs typeface="+mn-cs"/>
          </a:endParaRPr>
        </a:p>
      </xdr:txBody>
    </xdr:sp>
    <xdr:clientData/>
  </xdr:twoCellAnchor>
  <xdr:twoCellAnchor>
    <xdr:from>
      <xdr:col>0</xdr:col>
      <xdr:colOff>165669</xdr:colOff>
      <xdr:row>12</xdr:row>
      <xdr:rowOff>1803109</xdr:rowOff>
    </xdr:from>
    <xdr:to>
      <xdr:col>17</xdr:col>
      <xdr:colOff>0</xdr:colOff>
      <xdr:row>13</xdr:row>
      <xdr:rowOff>3843867</xdr:rowOff>
    </xdr:to>
    <xdr:sp macro="" textlink="">
      <xdr:nvSpPr>
        <xdr:cNvPr id="81" name="TextBox 80">
          <a:extLst>
            <a:ext uri="{FF2B5EF4-FFF2-40B4-BE49-F238E27FC236}">
              <a16:creationId xmlns:a16="http://schemas.microsoft.com/office/drawing/2014/main" xmlns="" id="{00000000-0008-0000-0D00-000051000000}"/>
            </a:ext>
          </a:extLst>
        </xdr:cNvPr>
        <xdr:cNvSpPr txBox="1"/>
      </xdr:nvSpPr>
      <xdr:spPr>
        <a:xfrm>
          <a:off x="165669" y="20759976"/>
          <a:ext cx="11729998" cy="723929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ru-RU" sz="1400" b="1" i="0" u="none" baseline="0">
              <a:solidFill>
                <a:schemeClr val="dk1"/>
              </a:solidFill>
              <a:effectLst/>
              <a:latin typeface="+mn-lt"/>
              <a:ea typeface="+mn-ea"/>
              <a:cs typeface="+mn-cs"/>
            </a:rPr>
            <a:t>Доступен набор сертифицированных модулей:</a:t>
          </a:r>
        </a:p>
        <a:p>
          <a:pPr marL="171450" marR="0" lvl="0" indent="-171450" algn="l" defTabSz="914400" eaLnBrk="1" fontAlgn="auto" latinLnBrk="0" hangingPunct="1">
            <a:lnSpc>
              <a:spcPct val="100000"/>
            </a:lnSpc>
            <a:spcBef>
              <a:spcPts val="600"/>
            </a:spcBef>
            <a:spcAft>
              <a:spcPts val="0"/>
            </a:spcAft>
            <a:buClrTx/>
            <a:buSzTx/>
            <a:buFont typeface="Wingdings" panose="05000000000000000000" pitchFamily="2" charset="2"/>
            <a:buChar char="v"/>
            <a:tabLst/>
            <a:defRPr/>
          </a:pPr>
          <a:r>
            <a:rPr lang="ru-RU" sz="1100" b="1" i="0" baseline="0">
              <a:solidFill>
                <a:schemeClr val="dk1"/>
              </a:solidFill>
              <a:effectLst/>
              <a:latin typeface="+mn-lt"/>
              <a:ea typeface="+mn-ea"/>
              <a:cs typeface="+mn-cs"/>
            </a:rPr>
            <a:t>Система обнаружения и предотвращения вторжений (ИТ.СОВ.У4.ПЗ) </a:t>
          </a:r>
          <a:r>
            <a:rPr lang="ru-RU" sz="1100" b="0" i="0" baseline="0">
              <a:solidFill>
                <a:schemeClr val="dk1"/>
              </a:solidFill>
              <a:effectLst/>
              <a:latin typeface="+mn-lt"/>
              <a:ea typeface="+mn-ea"/>
              <a:cs typeface="+mn-cs"/>
            </a:rPr>
            <a:t>реализует защиту от попыток неавторизованного доступа в компьютерную систему или сеть, используя</a:t>
          </a:r>
          <a:r>
            <a:rPr lang="ru-RU" baseline="0"/>
            <a:t>:</a:t>
          </a:r>
        </a:p>
        <a:p>
          <a:pPr marL="628650" marR="0" lvl="1" indent="-171450" algn="l" defTabSz="914400" eaLnBrk="1" fontAlgn="auto" latinLnBrk="0" hangingPunct="1">
            <a:lnSpc>
              <a:spcPct val="100000"/>
            </a:lnSpc>
            <a:spcBef>
              <a:spcPts val="600"/>
            </a:spcBef>
            <a:spcAft>
              <a:spcPts val="0"/>
            </a:spcAft>
            <a:buClrTx/>
            <a:buSzTx/>
            <a:buFont typeface="Arial" panose="020B0604020202020204" pitchFamily="34" charset="0"/>
            <a:buChar char="•"/>
            <a:tabLst/>
            <a:defRPr/>
          </a:pPr>
          <a:r>
            <a:rPr lang="ru-RU"/>
            <a:t>сигнатурный и эвристический анализ сетевого трафика, журналов ОС и приложений;</a:t>
          </a:r>
        </a:p>
        <a:p>
          <a:pPr marL="628650" marR="0" lvl="1" indent="-171450" algn="l" defTabSz="914400" eaLnBrk="1" fontAlgn="auto" latinLnBrk="0" hangingPunct="1">
            <a:lnSpc>
              <a:spcPct val="100000"/>
            </a:lnSpc>
            <a:spcBef>
              <a:spcPts val="600"/>
            </a:spcBef>
            <a:spcAft>
              <a:spcPts val="0"/>
            </a:spcAft>
            <a:buClrTx/>
            <a:buSzTx/>
            <a:buFont typeface="Arial" panose="020B0604020202020204" pitchFamily="34" charset="0"/>
            <a:buChar char="•"/>
            <a:tabLst/>
            <a:defRPr/>
          </a:pPr>
          <a:r>
            <a:rPr lang="ru-RU"/>
            <a:t>перехват вызова функций ОС сторонними приложениями;</a:t>
          </a:r>
        </a:p>
        <a:p>
          <a:pPr marL="628650" marR="0" lvl="1" indent="-171450" algn="l" defTabSz="914400" eaLnBrk="1" fontAlgn="auto" latinLnBrk="0" hangingPunct="1">
            <a:lnSpc>
              <a:spcPct val="100000"/>
            </a:lnSpc>
            <a:spcBef>
              <a:spcPts val="600"/>
            </a:spcBef>
            <a:spcAft>
              <a:spcPts val="0"/>
            </a:spcAft>
            <a:buClrTx/>
            <a:buSzTx/>
            <a:buFont typeface="Arial" panose="020B0604020202020204" pitchFamily="34" charset="0"/>
            <a:buChar char="•"/>
            <a:tabLst/>
            <a:defRPr/>
          </a:pPr>
          <a:r>
            <a:rPr lang="ru-RU"/>
            <a:t>песочницу для безопасного запуска подозрительных объектов;</a:t>
          </a:r>
        </a:p>
        <a:p>
          <a:pPr marL="628650" marR="0" lvl="1" indent="-171450" algn="l" defTabSz="914400" eaLnBrk="1" fontAlgn="auto" latinLnBrk="0" hangingPunct="1">
            <a:lnSpc>
              <a:spcPct val="100000"/>
            </a:lnSpc>
            <a:spcBef>
              <a:spcPts val="600"/>
            </a:spcBef>
            <a:spcAft>
              <a:spcPts val="0"/>
            </a:spcAft>
            <a:buClrTx/>
            <a:buSzTx/>
            <a:buFont typeface="Arial" panose="020B0604020202020204" pitchFamily="34" charset="0"/>
            <a:buChar char="•"/>
            <a:tabLst/>
            <a:defRPr/>
          </a:pPr>
          <a:r>
            <a:rPr lang="ru-RU"/>
            <a:t>собственный механизм защиты от вирусов-шифровальщиков с возможностью восстановления файлов.</a:t>
          </a:r>
          <a:endParaRPr lang="ru-RU" sz="1100" b="1" i="0" baseline="0">
            <a:solidFill>
              <a:schemeClr val="dk1"/>
            </a:solidFill>
            <a:effectLst/>
            <a:latin typeface="+mn-lt"/>
            <a:ea typeface="+mn-ea"/>
            <a:cs typeface="+mn-cs"/>
          </a:endParaRPr>
        </a:p>
        <a:p>
          <a:pPr marL="171450" marR="0" lvl="0" indent="-171450" algn="l" defTabSz="914400" eaLnBrk="1" fontAlgn="auto" latinLnBrk="0" hangingPunct="1">
            <a:lnSpc>
              <a:spcPct val="100000"/>
            </a:lnSpc>
            <a:spcBef>
              <a:spcPts val="600"/>
            </a:spcBef>
            <a:spcAft>
              <a:spcPts val="0"/>
            </a:spcAft>
            <a:buClrTx/>
            <a:buSzTx/>
            <a:buFont typeface="Wingdings" panose="05000000000000000000" pitchFamily="2" charset="2"/>
            <a:buChar char="v"/>
            <a:tabLst/>
            <a:defRPr/>
          </a:pPr>
          <a:r>
            <a:rPr lang="ru-RU" sz="1100" b="1" i="0" baseline="0">
              <a:solidFill>
                <a:schemeClr val="dk1"/>
              </a:solidFill>
              <a:effectLst/>
              <a:latin typeface="+mn-lt"/>
              <a:ea typeface="+mn-ea"/>
              <a:cs typeface="+mn-cs"/>
            </a:rPr>
            <a:t>Межсетевой экран (ИТ.МЭ.В4.ПЗ) </a:t>
          </a:r>
          <a:r>
            <a:rPr lang="ru-RU"/>
            <a:t>осуществляет контроль и фильтрацию сетевых пакетов, проходящих через сетевые интерфейсы ПК, а также включает следующие возможности:</a:t>
          </a:r>
        </a:p>
        <a:p>
          <a:pPr marL="628650" marR="0" lvl="1" indent="-171450" algn="l" defTabSz="914400" eaLnBrk="1" fontAlgn="auto" latinLnBrk="0" hangingPunct="1">
            <a:lnSpc>
              <a:spcPct val="100000"/>
            </a:lnSpc>
            <a:spcBef>
              <a:spcPts val="600"/>
            </a:spcBef>
            <a:spcAft>
              <a:spcPts val="0"/>
            </a:spcAft>
            <a:buClrTx/>
            <a:buSzTx/>
            <a:buFont typeface="Arial" panose="020B0604020202020204" pitchFamily="34" charset="0"/>
            <a:buChar char="•"/>
            <a:tabLst/>
            <a:defRPr/>
          </a:pPr>
          <a:r>
            <a:rPr lang="ru-RU" sz="1100">
              <a:solidFill>
                <a:schemeClr val="dk1"/>
              </a:solidFill>
              <a:latin typeface="+mn-lt"/>
              <a:ea typeface="+mn-ea"/>
              <a:cs typeface="+mn-cs"/>
            </a:rPr>
            <a:t>полное блокирование передачи данных по определённым сетевым протоколам;</a:t>
          </a:r>
        </a:p>
        <a:p>
          <a:pPr marL="628650" marR="0" lvl="1" indent="-171450" algn="l" defTabSz="914400" eaLnBrk="1" fontAlgn="auto" latinLnBrk="0" hangingPunct="1">
            <a:lnSpc>
              <a:spcPct val="100000"/>
            </a:lnSpc>
            <a:spcBef>
              <a:spcPts val="600"/>
            </a:spcBef>
            <a:spcAft>
              <a:spcPts val="0"/>
            </a:spcAft>
            <a:buClrTx/>
            <a:buSzTx/>
            <a:buFont typeface="Arial" panose="020B0604020202020204" pitchFamily="34" charset="0"/>
            <a:buChar char="•"/>
            <a:tabLst/>
            <a:defRPr/>
          </a:pPr>
          <a:r>
            <a:rPr lang="ru-RU" sz="1100">
              <a:solidFill>
                <a:schemeClr val="dk1"/>
              </a:solidFill>
              <a:latin typeface="+mn-lt"/>
              <a:ea typeface="+mn-ea"/>
              <a:cs typeface="+mn-cs"/>
            </a:rPr>
            <a:t>блокировка ресурсов в сети Интернет по </a:t>
          </a:r>
          <a:r>
            <a:rPr lang="en-US" sz="1100">
              <a:solidFill>
                <a:schemeClr val="dk1"/>
              </a:solidFill>
              <a:latin typeface="+mn-lt"/>
              <a:ea typeface="+mn-ea"/>
              <a:cs typeface="+mn-cs"/>
            </a:rPr>
            <a:t>IP-</a:t>
          </a:r>
          <a:r>
            <a:rPr lang="ru-RU" sz="1100">
              <a:solidFill>
                <a:schemeClr val="dk1"/>
              </a:solidFill>
              <a:latin typeface="+mn-lt"/>
              <a:ea typeface="+mn-ea"/>
              <a:cs typeface="+mn-cs"/>
            </a:rPr>
            <a:t>адресу и </a:t>
          </a:r>
          <a:r>
            <a:rPr lang="en-US" sz="1100">
              <a:solidFill>
                <a:schemeClr val="dk1"/>
              </a:solidFill>
              <a:latin typeface="+mn-lt"/>
              <a:ea typeface="+mn-ea"/>
              <a:cs typeface="+mn-cs"/>
            </a:rPr>
            <a:t>URL </a:t>
          </a:r>
          <a:r>
            <a:rPr lang="ru-RU" sz="1100">
              <a:solidFill>
                <a:schemeClr val="dk1"/>
              </a:solidFill>
              <a:latin typeface="+mn-lt"/>
              <a:ea typeface="+mn-ea"/>
              <a:cs typeface="+mn-cs"/>
            </a:rPr>
            <a:t>сайта;</a:t>
          </a:r>
        </a:p>
        <a:p>
          <a:pPr marL="628650" marR="0" lvl="1" indent="-171450" algn="l" defTabSz="914400" eaLnBrk="1" fontAlgn="auto" latinLnBrk="0" hangingPunct="1">
            <a:lnSpc>
              <a:spcPct val="100000"/>
            </a:lnSpc>
            <a:spcBef>
              <a:spcPts val="600"/>
            </a:spcBef>
            <a:spcAft>
              <a:spcPts val="0"/>
            </a:spcAft>
            <a:buClrTx/>
            <a:buSzTx/>
            <a:buFont typeface="Arial" panose="020B0604020202020204" pitchFamily="34" charset="0"/>
            <a:buChar char="•"/>
            <a:tabLst/>
            <a:defRPr/>
          </a:pPr>
          <a:r>
            <a:rPr lang="ru-RU" sz="1100">
              <a:solidFill>
                <a:schemeClr val="dk1"/>
              </a:solidFill>
              <a:latin typeface="+mn-lt"/>
              <a:ea typeface="+mn-ea"/>
              <a:cs typeface="+mn-cs"/>
            </a:rPr>
            <a:t>гибкую</a:t>
          </a:r>
          <a:r>
            <a:rPr lang="ru-RU" sz="1100" baseline="0">
              <a:solidFill>
                <a:schemeClr val="dk1"/>
              </a:solidFill>
              <a:latin typeface="+mn-lt"/>
              <a:ea typeface="+mn-ea"/>
              <a:cs typeface="+mn-cs"/>
            </a:rPr>
            <a:t> </a:t>
          </a:r>
          <a:r>
            <a:rPr lang="ru-RU" sz="1100">
              <a:solidFill>
                <a:schemeClr val="dk1"/>
              </a:solidFill>
              <a:latin typeface="+mn-lt"/>
              <a:ea typeface="+mn-ea"/>
              <a:cs typeface="+mn-cs"/>
            </a:rPr>
            <a:t>настройку правил фильтрации и выполнение групповых операций над правилами.</a:t>
          </a:r>
        </a:p>
        <a:p>
          <a:pPr marL="171450" marR="0" lvl="0" indent="-171450" algn="l" defTabSz="914400" eaLnBrk="1" fontAlgn="auto" latinLnBrk="0" hangingPunct="1">
            <a:lnSpc>
              <a:spcPct val="100000"/>
            </a:lnSpc>
            <a:spcBef>
              <a:spcPts val="600"/>
            </a:spcBef>
            <a:spcAft>
              <a:spcPts val="0"/>
            </a:spcAft>
            <a:buClrTx/>
            <a:buSzTx/>
            <a:buFont typeface="Wingdings" panose="05000000000000000000" pitchFamily="2" charset="2"/>
            <a:buChar char="v"/>
            <a:tabLst/>
            <a:defRPr/>
          </a:pPr>
          <a:r>
            <a:rPr lang="ru-RU" sz="1100" b="1" i="0" baseline="0">
              <a:solidFill>
                <a:schemeClr val="dk1"/>
              </a:solidFill>
              <a:effectLst/>
              <a:latin typeface="+mn-lt"/>
              <a:ea typeface="+mn-ea"/>
              <a:cs typeface="+mn-cs"/>
            </a:rPr>
            <a:t>Средство контроля съемных машинных носителей информации (СКН) </a:t>
          </a:r>
          <a:r>
            <a:rPr lang="ru-RU"/>
            <a:t>обеспечивает защиту и контроль за использованием съёмных накопителей, включает два уровня</a:t>
          </a:r>
          <a:r>
            <a:rPr lang="ru-RU" sz="1100" b="1" i="0" baseline="0">
              <a:solidFill>
                <a:schemeClr val="dk1"/>
              </a:solidFill>
              <a:effectLst/>
              <a:latin typeface="+mn-lt"/>
              <a:ea typeface="+mn-ea"/>
              <a:cs typeface="+mn-cs"/>
            </a:rPr>
            <a:t>:</a:t>
          </a:r>
        </a:p>
        <a:p>
          <a:pPr marL="628650" marR="0" lvl="1" indent="-171450" algn="l" defTabSz="914400" eaLnBrk="1" fontAlgn="auto" latinLnBrk="0" hangingPunct="1">
            <a:lnSpc>
              <a:spcPct val="100000"/>
            </a:lnSpc>
            <a:spcBef>
              <a:spcPts val="600"/>
            </a:spcBef>
            <a:spcAft>
              <a:spcPts val="0"/>
            </a:spcAft>
            <a:buClrTx/>
            <a:buSzTx/>
            <a:buFont typeface="Arial" panose="020B0604020202020204" pitchFamily="34" charset="0"/>
            <a:buChar char="•"/>
            <a:tabLst/>
            <a:defRPr/>
          </a:pPr>
          <a:r>
            <a:rPr lang="ru-RU" sz="1100" b="1">
              <a:solidFill>
                <a:schemeClr val="dk1"/>
              </a:solidFill>
              <a:latin typeface="+mn-lt"/>
              <a:ea typeface="+mn-ea"/>
              <a:cs typeface="+mn-cs"/>
            </a:rPr>
            <a:t>СКН уровня подключения</a:t>
          </a:r>
          <a:r>
            <a:rPr lang="ru-RU" sz="1100">
              <a:solidFill>
                <a:schemeClr val="dk1"/>
              </a:solidFill>
              <a:latin typeface="+mn-lt"/>
              <a:ea typeface="+mn-ea"/>
              <a:cs typeface="+mn-cs"/>
            </a:rPr>
            <a:t> съёмных носителей: контроль подключения накопителей к рабочим станциям, разграничение доступа к ним, а также защита от теневого копирования </a:t>
          </a:r>
          <a:r>
            <a:rPr lang="ru-RU" sz="1100" b="1" i="0" baseline="0">
              <a:solidFill>
                <a:schemeClr val="dk1"/>
              </a:solidFill>
              <a:effectLst/>
              <a:latin typeface="+mn-lt"/>
              <a:ea typeface="+mn-ea"/>
              <a:cs typeface="+mn-cs"/>
            </a:rPr>
            <a:t>(ИТ.СКН.П4.П3);</a:t>
          </a:r>
          <a:endParaRPr lang="ru-RU" sz="1100">
            <a:solidFill>
              <a:schemeClr val="dk1"/>
            </a:solidFill>
            <a:latin typeface="+mn-lt"/>
            <a:ea typeface="+mn-ea"/>
            <a:cs typeface="+mn-cs"/>
          </a:endParaRPr>
        </a:p>
        <a:p>
          <a:pPr marL="628650" marR="0" lvl="1" indent="-171450" algn="l" defTabSz="914400" eaLnBrk="1" fontAlgn="auto" latinLnBrk="0" hangingPunct="1">
            <a:lnSpc>
              <a:spcPct val="100000"/>
            </a:lnSpc>
            <a:spcBef>
              <a:spcPts val="600"/>
            </a:spcBef>
            <a:spcAft>
              <a:spcPts val="0"/>
            </a:spcAft>
            <a:buClrTx/>
            <a:buSzTx/>
            <a:buFont typeface="Arial" panose="020B0604020202020204" pitchFamily="34" charset="0"/>
            <a:buChar char="•"/>
            <a:tabLst/>
            <a:defRPr/>
          </a:pPr>
          <a:r>
            <a:rPr lang="ru-RU" sz="1100" b="1">
              <a:solidFill>
                <a:schemeClr val="dk1"/>
              </a:solidFill>
              <a:latin typeface="+mn-lt"/>
              <a:ea typeface="+mn-ea"/>
              <a:cs typeface="+mn-cs"/>
            </a:rPr>
            <a:t>СКН уровня отчуждения</a:t>
          </a:r>
          <a:r>
            <a:rPr lang="ru-RU" sz="1100" b="0">
              <a:solidFill>
                <a:schemeClr val="dk1"/>
              </a:solidFill>
              <a:latin typeface="+mn-lt"/>
              <a:ea typeface="+mn-ea"/>
              <a:cs typeface="+mn-cs"/>
            </a:rPr>
            <a:t> (переноса) </a:t>
          </a:r>
          <a:r>
            <a:rPr lang="ru-RU" sz="1100">
              <a:solidFill>
                <a:schemeClr val="dk1"/>
              </a:solidFill>
              <a:latin typeface="+mn-lt"/>
              <a:ea typeface="+mn-ea"/>
              <a:cs typeface="+mn-cs"/>
            </a:rPr>
            <a:t>информации: преобразование данных «на лету» при чтении и записи, </a:t>
          </a:r>
          <a:r>
            <a:rPr lang="ru-RU"/>
            <a:t>легитимный и безопасный перенос конфиденциальной информации между </a:t>
          </a:r>
          <a:r>
            <a:rPr lang="ru-RU" sz="1100">
              <a:solidFill>
                <a:schemeClr val="dk1"/>
              </a:solidFill>
              <a:effectLst/>
              <a:latin typeface="+mn-lt"/>
              <a:ea typeface="+mn-ea"/>
              <a:cs typeface="+mn-cs"/>
            </a:rPr>
            <a:t>рабочими станциями </a:t>
          </a:r>
          <a:r>
            <a:rPr lang="ru-RU"/>
            <a:t>и доменами</a:t>
          </a:r>
          <a:r>
            <a:rPr lang="ru-RU" baseline="0"/>
            <a:t> </a:t>
          </a:r>
          <a:r>
            <a:rPr lang="ru-RU" sz="1100" b="1" i="0" baseline="0">
              <a:solidFill>
                <a:schemeClr val="dk1"/>
              </a:solidFill>
              <a:effectLst/>
              <a:latin typeface="+mn-lt"/>
              <a:ea typeface="+mn-ea"/>
              <a:cs typeface="+mn-cs"/>
            </a:rPr>
            <a:t>(ИТ.СКН.Н4.П3).</a:t>
          </a:r>
          <a:endParaRPr lang="ru-RU" sz="1100">
            <a:solidFill>
              <a:schemeClr val="dk1"/>
            </a:solidFill>
            <a:latin typeface="+mn-lt"/>
            <a:ea typeface="+mn-ea"/>
            <a:cs typeface="+mn-cs"/>
          </a:endParaRPr>
        </a:p>
        <a:p>
          <a:pPr marL="171450" marR="0" lvl="0" indent="-171450" algn="l" defTabSz="914400" eaLnBrk="1" fontAlgn="auto" latinLnBrk="0" hangingPunct="1">
            <a:lnSpc>
              <a:spcPct val="100000"/>
            </a:lnSpc>
            <a:spcBef>
              <a:spcPts val="600"/>
            </a:spcBef>
            <a:spcAft>
              <a:spcPts val="0"/>
            </a:spcAft>
            <a:buClrTx/>
            <a:buSzTx/>
            <a:buFont typeface="Wingdings" panose="05000000000000000000" pitchFamily="2" charset="2"/>
            <a:buChar char="v"/>
            <a:tabLst/>
            <a:defRPr/>
          </a:pPr>
          <a:r>
            <a:rPr lang="ru-RU" sz="1100" b="1" i="0" baseline="0">
              <a:solidFill>
                <a:schemeClr val="dk1"/>
              </a:solidFill>
              <a:effectLst/>
              <a:latin typeface="+mn-lt"/>
              <a:ea typeface="+mn-ea"/>
              <a:cs typeface="+mn-cs"/>
            </a:rPr>
            <a:t>Модуль паспортизации программного обеспечения </a:t>
          </a:r>
          <a:r>
            <a:rPr lang="ru-RU"/>
            <a:t>предназначен для создания и ведения паспортов программного обеспечения на рабочих местах пользователей. Он контролирует список исполняемых файлов, собирает информацию о состоянии программной среды, сравнивает версии и синхронизирует их с утверждёнными паспортами ПО</a:t>
          </a:r>
          <a:endParaRPr lang="ru-RU" sz="1100" b="1" i="0" baseline="0">
            <a:solidFill>
              <a:schemeClr val="dk1"/>
            </a:solidFill>
            <a:effectLst/>
            <a:latin typeface="+mn-lt"/>
            <a:ea typeface="+mn-ea"/>
            <a:cs typeface="+mn-cs"/>
          </a:endParaRPr>
        </a:p>
        <a:p>
          <a:pPr marL="171450" marR="0" lvl="0" indent="-171450" algn="l" defTabSz="914400" eaLnBrk="1" fontAlgn="auto" latinLnBrk="0" hangingPunct="1">
            <a:lnSpc>
              <a:spcPct val="100000"/>
            </a:lnSpc>
            <a:spcBef>
              <a:spcPts val="600"/>
            </a:spcBef>
            <a:spcAft>
              <a:spcPts val="0"/>
            </a:spcAft>
            <a:buClrTx/>
            <a:buSzTx/>
            <a:buFont typeface="Wingdings" panose="05000000000000000000" pitchFamily="2" charset="2"/>
            <a:buChar char="v"/>
            <a:tabLst/>
            <a:defRPr/>
          </a:pPr>
          <a:r>
            <a:rPr lang="ru-RU" sz="1100" b="1" i="0" baseline="0">
              <a:solidFill>
                <a:schemeClr val="dk1"/>
              </a:solidFill>
              <a:effectLst/>
              <a:latin typeface="+mn-lt"/>
              <a:ea typeface="+mn-ea"/>
              <a:cs typeface="+mn-cs"/>
            </a:rPr>
            <a:t>Модуль резервного копирования произвольных объектов </a:t>
          </a:r>
          <a:r>
            <a:rPr lang="ru-RU"/>
            <a:t>позволяет настраивать резервное копирование произвольных пользовательских файлов и настроек. Пользователь может выбирать количество копий, задавать расписание создания и при необходимости восстанавливать данные из резервных копий</a:t>
          </a:r>
        </a:p>
        <a:p>
          <a:pPr marL="171450" marR="0" lvl="0" indent="-171450" algn="l" defTabSz="914400" eaLnBrk="1" fontAlgn="auto" latinLnBrk="0" hangingPunct="1">
            <a:lnSpc>
              <a:spcPct val="100000"/>
            </a:lnSpc>
            <a:spcBef>
              <a:spcPts val="600"/>
            </a:spcBef>
            <a:spcAft>
              <a:spcPts val="0"/>
            </a:spcAft>
            <a:buClrTx/>
            <a:buSzTx/>
            <a:buFont typeface="Wingdings" panose="05000000000000000000" pitchFamily="2" charset="2"/>
            <a:buChar char="v"/>
            <a:tabLst/>
            <a:defRPr/>
          </a:pPr>
          <a:r>
            <a:rPr lang="ru-RU" sz="1100" b="1" i="0" baseline="0">
              <a:solidFill>
                <a:schemeClr val="dk1"/>
              </a:solidFill>
              <a:effectLst/>
              <a:latin typeface="+mn-lt"/>
              <a:ea typeface="+mn-ea"/>
              <a:cs typeface="+mn-cs"/>
            </a:rPr>
            <a:t>Возможности </a:t>
          </a:r>
          <a:r>
            <a:rPr lang="en-US" sz="1100" b="1" i="0" baseline="0">
              <a:solidFill>
                <a:schemeClr val="dk1"/>
              </a:solidFill>
              <a:effectLst/>
              <a:latin typeface="+mn-lt"/>
              <a:ea typeface="+mn-ea"/>
              <a:cs typeface="+mn-cs"/>
            </a:rPr>
            <a:t>EDR </a:t>
          </a:r>
          <a:r>
            <a:rPr lang="ru-RU" sz="1100" b="1" i="0" baseline="0">
              <a:solidFill>
                <a:schemeClr val="dk1"/>
              </a:solidFill>
              <a:effectLst/>
              <a:latin typeface="+mn-lt"/>
              <a:ea typeface="+mn-ea"/>
              <a:cs typeface="+mn-cs"/>
            </a:rPr>
            <a:t>в новом модуле «Средство обнаружения и реагирования». </a:t>
          </a:r>
          <a:r>
            <a:rPr lang="ru-RU" sz="1100" b="0" i="0" baseline="0">
              <a:solidFill>
                <a:schemeClr val="dk1"/>
              </a:solidFill>
              <a:effectLst/>
              <a:latin typeface="+mn-lt"/>
              <a:ea typeface="+mn-ea"/>
              <a:cs typeface="+mn-cs"/>
            </a:rPr>
            <a:t>Р</a:t>
          </a:r>
          <a:r>
            <a:rPr lang="ru-RU" sz="1100" b="0" i="0">
              <a:solidFill>
                <a:schemeClr val="dk1"/>
              </a:solidFill>
              <a:effectLst/>
              <a:latin typeface="+mn-lt"/>
              <a:ea typeface="+mn-ea"/>
              <a:cs typeface="+mn-cs"/>
            </a:rPr>
            <a:t>еализована возможность сканирования системы на индикаторы компрометации (</a:t>
          </a:r>
          <a:r>
            <a:rPr lang="en-US" sz="1100" b="0" i="0">
              <a:solidFill>
                <a:schemeClr val="dk1"/>
              </a:solidFill>
              <a:effectLst/>
              <a:latin typeface="+mn-lt"/>
              <a:ea typeface="+mn-ea"/>
              <a:cs typeface="+mn-cs"/>
            </a:rPr>
            <a:t>IoC). </a:t>
          </a:r>
          <a:r>
            <a:rPr lang="ru-RU" sz="1100" b="0" i="0">
              <a:solidFill>
                <a:schemeClr val="dk1"/>
              </a:solidFill>
              <a:effectLst/>
              <a:latin typeface="+mn-lt"/>
              <a:ea typeface="+mn-ea"/>
              <a:cs typeface="+mn-cs"/>
            </a:rPr>
            <a:t>Модуль «Средство обнаружения и реагирования» позволяет:</a:t>
          </a:r>
        </a:p>
        <a:p>
          <a:pPr marL="628650" marR="0" lvl="1" indent="-171450" algn="l" defTabSz="914400" eaLnBrk="1" fontAlgn="auto" latinLnBrk="0" hangingPunct="1">
            <a:lnSpc>
              <a:spcPct val="100000"/>
            </a:lnSpc>
            <a:spcBef>
              <a:spcPts val="600"/>
            </a:spcBef>
            <a:spcAft>
              <a:spcPts val="0"/>
            </a:spcAft>
            <a:buClrTx/>
            <a:buSzTx/>
            <a:buFont typeface="Arial" panose="020B0604020202020204" pitchFamily="34" charset="0"/>
            <a:buChar char="•"/>
            <a:tabLst/>
            <a:defRPr/>
          </a:pPr>
          <a:r>
            <a:rPr lang="ru-RU" sz="1100">
              <a:solidFill>
                <a:schemeClr val="dk1"/>
              </a:solidFill>
              <a:latin typeface="+mn-lt"/>
              <a:ea typeface="+mn-ea"/>
              <a:cs typeface="+mn-cs"/>
            </a:rPr>
            <a:t>управлять базой индикаторов компрометации (</a:t>
          </a:r>
          <a:r>
            <a:rPr lang="en-US" sz="1100">
              <a:solidFill>
                <a:schemeClr val="dk1"/>
              </a:solidFill>
              <a:latin typeface="+mn-lt"/>
              <a:ea typeface="+mn-ea"/>
              <a:cs typeface="+mn-cs"/>
            </a:rPr>
            <a:t>IoC), </a:t>
          </a:r>
          <a:r>
            <a:rPr lang="ru-RU" sz="1100">
              <a:solidFill>
                <a:schemeClr val="dk1"/>
              </a:solidFill>
              <a:latin typeface="+mn-lt"/>
              <a:ea typeface="+mn-ea"/>
              <a:cs typeface="+mn-cs"/>
            </a:rPr>
            <a:t>в том числе добавлять пользовательские файлы;</a:t>
          </a:r>
        </a:p>
        <a:p>
          <a:pPr marL="628650" marR="0" lvl="1" indent="-171450" algn="l" defTabSz="914400" eaLnBrk="1" fontAlgn="auto" latinLnBrk="0" hangingPunct="1">
            <a:lnSpc>
              <a:spcPct val="100000"/>
            </a:lnSpc>
            <a:spcBef>
              <a:spcPts val="600"/>
            </a:spcBef>
            <a:spcAft>
              <a:spcPts val="0"/>
            </a:spcAft>
            <a:buClrTx/>
            <a:buSzTx/>
            <a:buFont typeface="Arial" panose="020B0604020202020204" pitchFamily="34" charset="0"/>
            <a:buChar char="•"/>
            <a:tabLst/>
            <a:defRPr/>
          </a:pPr>
          <a:r>
            <a:rPr lang="ru-RU" sz="1100">
              <a:solidFill>
                <a:schemeClr val="dk1"/>
              </a:solidFill>
              <a:latin typeface="+mn-lt"/>
              <a:ea typeface="+mn-ea"/>
              <a:cs typeface="+mn-cs"/>
            </a:rPr>
            <a:t>запускать сканирование системы вручную или по расписанию;</a:t>
          </a:r>
        </a:p>
        <a:p>
          <a:pPr marL="628650" marR="0" lvl="1" indent="-171450" algn="l" defTabSz="914400" eaLnBrk="1" fontAlgn="auto" latinLnBrk="0" hangingPunct="1">
            <a:lnSpc>
              <a:spcPct val="100000"/>
            </a:lnSpc>
            <a:spcBef>
              <a:spcPts val="600"/>
            </a:spcBef>
            <a:spcAft>
              <a:spcPts val="0"/>
            </a:spcAft>
            <a:buClrTx/>
            <a:buSzTx/>
            <a:buFont typeface="Arial" panose="020B0604020202020204" pitchFamily="34" charset="0"/>
            <a:buChar char="•"/>
            <a:tabLst/>
            <a:defRPr/>
          </a:pPr>
          <a:r>
            <a:rPr lang="ru-RU" sz="1100">
              <a:solidFill>
                <a:schemeClr val="dk1"/>
              </a:solidFill>
              <a:latin typeface="+mn-lt"/>
              <a:ea typeface="+mn-ea"/>
              <a:cs typeface="+mn-cs"/>
            </a:rPr>
            <a:t>создавать правила автоматического реагирования на основе индикаторов компрометации с выбором действия по реагированию на угрозы;</a:t>
          </a:r>
          <a:endParaRPr lang="en-US" sz="1100">
            <a:solidFill>
              <a:schemeClr val="dk1"/>
            </a:solidFill>
            <a:latin typeface="+mn-lt"/>
            <a:ea typeface="+mn-ea"/>
            <a:cs typeface="+mn-cs"/>
          </a:endParaRPr>
        </a:p>
        <a:p>
          <a:pPr marL="628650" marR="0" lvl="1" indent="-171450" algn="l" defTabSz="914400" eaLnBrk="1" fontAlgn="auto" latinLnBrk="0" hangingPunct="1">
            <a:lnSpc>
              <a:spcPct val="100000"/>
            </a:lnSpc>
            <a:spcBef>
              <a:spcPts val="600"/>
            </a:spcBef>
            <a:spcAft>
              <a:spcPts val="0"/>
            </a:spcAft>
            <a:buClrTx/>
            <a:buSzTx/>
            <a:buFont typeface="Arial" panose="020B0604020202020204" pitchFamily="34" charset="0"/>
            <a:buChar char="•"/>
            <a:tabLst/>
            <a:defRPr/>
          </a:pPr>
          <a:r>
            <a:rPr lang="ru-RU" sz="1100">
              <a:solidFill>
                <a:schemeClr val="dk1"/>
              </a:solidFill>
              <a:latin typeface="+mn-lt"/>
              <a:ea typeface="+mn-ea"/>
              <a:cs typeface="+mn-cs"/>
            </a:rPr>
            <a:t>регулярно обновлять базу индикаторов компрометации (</a:t>
          </a:r>
          <a:r>
            <a:rPr lang="en-US" sz="1100">
              <a:solidFill>
                <a:schemeClr val="dk1"/>
              </a:solidFill>
              <a:latin typeface="+mn-lt"/>
              <a:ea typeface="+mn-ea"/>
              <a:cs typeface="+mn-cs"/>
            </a:rPr>
            <a:t>IoC)</a:t>
          </a:r>
          <a:r>
            <a:rPr lang="ru-RU" sz="1100">
              <a:solidFill>
                <a:schemeClr val="dk1"/>
              </a:solidFill>
              <a:latin typeface="+mn-lt"/>
              <a:ea typeface="+mn-ea"/>
              <a:cs typeface="+mn-cs"/>
            </a:rPr>
            <a:t>*;</a:t>
          </a:r>
          <a:endParaRPr lang="en-US" sz="1100">
            <a:solidFill>
              <a:schemeClr val="dk1"/>
            </a:solidFill>
            <a:latin typeface="+mn-lt"/>
            <a:ea typeface="+mn-ea"/>
            <a:cs typeface="+mn-cs"/>
          </a:endParaRPr>
        </a:p>
        <a:p>
          <a:pPr marL="628650" marR="0" lvl="1" indent="-171450" algn="l" defTabSz="914400" eaLnBrk="1" fontAlgn="auto" latinLnBrk="0" hangingPunct="1">
            <a:lnSpc>
              <a:spcPct val="100000"/>
            </a:lnSpc>
            <a:spcBef>
              <a:spcPts val="600"/>
            </a:spcBef>
            <a:spcAft>
              <a:spcPts val="0"/>
            </a:spcAft>
            <a:buClrTx/>
            <a:buSzTx/>
            <a:buFont typeface="Arial" panose="020B0604020202020204" pitchFamily="34" charset="0"/>
            <a:buChar char="•"/>
            <a:tabLst/>
            <a:defRPr/>
          </a:pPr>
          <a:r>
            <a:rPr lang="ru-RU" sz="1100">
              <a:solidFill>
                <a:schemeClr val="dk1"/>
              </a:solidFill>
              <a:effectLst/>
              <a:latin typeface="+mn-lt"/>
              <a:ea typeface="+mn-ea"/>
              <a:cs typeface="+mn-cs"/>
            </a:rPr>
            <a:t>настраивать автоматическое сканирование новых файлов в системе на индикаторы компрометации </a:t>
          </a:r>
          <a:r>
            <a:rPr lang="en-US" sz="1100">
              <a:solidFill>
                <a:schemeClr val="dk1"/>
              </a:solidFill>
              <a:effectLst/>
              <a:latin typeface="+mn-lt"/>
              <a:ea typeface="+mn-ea"/>
              <a:cs typeface="+mn-cs"/>
            </a:rPr>
            <a:t>(IoC)</a:t>
          </a:r>
          <a:r>
            <a:rPr lang="ru-RU" sz="1100">
              <a:solidFill>
                <a:schemeClr val="dk1"/>
              </a:solidFill>
              <a:effectLst/>
              <a:latin typeface="+mn-lt"/>
              <a:ea typeface="+mn-ea"/>
              <a:cs typeface="+mn-cs"/>
            </a:rPr>
            <a:t>*;</a:t>
          </a:r>
          <a:endParaRPr lang="en-US" sz="1100">
            <a:solidFill>
              <a:schemeClr val="dk1"/>
            </a:solidFill>
            <a:effectLst/>
            <a:latin typeface="+mn-lt"/>
            <a:ea typeface="+mn-ea"/>
            <a:cs typeface="+mn-cs"/>
          </a:endParaRPr>
        </a:p>
        <a:p>
          <a:pPr marL="628650" marR="0" lvl="1" indent="-171450" algn="l" defTabSz="914400" eaLnBrk="1" fontAlgn="auto" latinLnBrk="0" hangingPunct="1">
            <a:lnSpc>
              <a:spcPct val="100000"/>
            </a:lnSpc>
            <a:spcBef>
              <a:spcPts val="600"/>
            </a:spcBef>
            <a:spcAft>
              <a:spcPts val="0"/>
            </a:spcAft>
            <a:buClrTx/>
            <a:buSzTx/>
            <a:buFont typeface="Arial" panose="020B0604020202020204" pitchFamily="34" charset="0"/>
            <a:buChar char="•"/>
            <a:tabLst/>
            <a:defRPr/>
          </a:pPr>
          <a:r>
            <a:rPr lang="ru-RU" sz="1100">
              <a:solidFill>
                <a:schemeClr val="dk1"/>
              </a:solidFill>
              <a:effectLst/>
              <a:latin typeface="+mn-lt"/>
              <a:ea typeface="+mn-ea"/>
              <a:cs typeface="+mn-cs"/>
            </a:rPr>
            <a:t>выбирать область сканирования системы*;</a:t>
          </a:r>
          <a:endParaRPr lang="en-US" sz="1100">
            <a:solidFill>
              <a:schemeClr val="dk1"/>
            </a:solidFill>
            <a:effectLst/>
            <a:latin typeface="+mn-lt"/>
            <a:ea typeface="+mn-ea"/>
            <a:cs typeface="+mn-cs"/>
          </a:endParaRPr>
        </a:p>
        <a:p>
          <a:pPr marL="628650" marR="0" lvl="1" indent="-171450" algn="l" defTabSz="914400" eaLnBrk="1" fontAlgn="auto" latinLnBrk="0" hangingPunct="1">
            <a:lnSpc>
              <a:spcPct val="100000"/>
            </a:lnSpc>
            <a:spcBef>
              <a:spcPts val="600"/>
            </a:spcBef>
            <a:spcAft>
              <a:spcPts val="0"/>
            </a:spcAft>
            <a:buClrTx/>
            <a:buSzTx/>
            <a:buFont typeface="Arial" panose="020B0604020202020204" pitchFamily="34" charset="0"/>
            <a:buChar char="•"/>
            <a:tabLst/>
            <a:defRPr/>
          </a:pPr>
          <a:r>
            <a:rPr lang="ru-RU" sz="1100">
              <a:solidFill>
                <a:schemeClr val="dk1"/>
              </a:solidFill>
              <a:effectLst/>
              <a:latin typeface="+mn-lt"/>
              <a:ea typeface="+mn-ea"/>
              <a:cs typeface="+mn-cs"/>
            </a:rPr>
            <a:t>распределять индикаторы компрометации на подгруппы*.</a:t>
          </a:r>
          <a:br>
            <a:rPr lang="ru-RU" sz="1100">
              <a:solidFill>
                <a:schemeClr val="dk1"/>
              </a:solidFill>
              <a:effectLst/>
              <a:latin typeface="+mn-lt"/>
              <a:ea typeface="+mn-ea"/>
              <a:cs typeface="+mn-cs"/>
            </a:rPr>
          </a:br>
          <a:r>
            <a:rPr lang="ru-RU" sz="1100">
              <a:solidFill>
                <a:schemeClr val="dk1"/>
              </a:solidFill>
              <a:effectLst/>
              <a:latin typeface="+mn-lt"/>
              <a:ea typeface="+mn-ea"/>
              <a:cs typeface="+mn-cs"/>
            </a:rPr>
            <a:t/>
          </a:r>
          <a:br>
            <a:rPr lang="ru-RU" sz="1100">
              <a:solidFill>
                <a:schemeClr val="dk1"/>
              </a:solidFill>
              <a:effectLst/>
              <a:latin typeface="+mn-lt"/>
              <a:ea typeface="+mn-ea"/>
              <a:cs typeface="+mn-cs"/>
            </a:rPr>
          </a:br>
          <a:r>
            <a:rPr lang="ru-RU" sz="1100" b="0" i="0" baseline="0">
              <a:solidFill>
                <a:schemeClr val="dk1"/>
              </a:solidFill>
              <a:effectLst/>
              <a:latin typeface="+mn-lt"/>
              <a:ea typeface="+mn-ea"/>
              <a:cs typeface="+mn-cs"/>
            </a:rPr>
            <a:t>* - функциональная возможность реализована и будет доступна после прохождения сертификационных испытаний во 2 квартале 2026 г., при наличии действующей ТП будет доступно автоматическое обновление.</a:t>
          </a:r>
          <a:endParaRPr lang="en-US" sz="1100">
            <a:solidFill>
              <a:schemeClr val="dk1"/>
            </a:solidFill>
            <a:latin typeface="+mn-lt"/>
            <a:ea typeface="+mn-ea"/>
            <a:cs typeface="+mn-cs"/>
          </a:endParaRPr>
        </a:p>
      </xdr:txBody>
    </xdr:sp>
    <xdr:clientData/>
  </xdr:twoCellAnchor>
  <xdr:twoCellAnchor>
    <xdr:from>
      <xdr:col>4</xdr:col>
      <xdr:colOff>259215</xdr:colOff>
      <xdr:row>12</xdr:row>
      <xdr:rowOff>807240</xdr:rowOff>
    </xdr:from>
    <xdr:to>
      <xdr:col>7</xdr:col>
      <xdr:colOff>203346</xdr:colOff>
      <xdr:row>12</xdr:row>
      <xdr:rowOff>1595139</xdr:rowOff>
    </xdr:to>
    <xdr:sp macro="" textlink="">
      <xdr:nvSpPr>
        <xdr:cNvPr id="82" name="TextBox 81">
          <a:extLst>
            <a:ext uri="{FF2B5EF4-FFF2-40B4-BE49-F238E27FC236}">
              <a16:creationId xmlns:a16="http://schemas.microsoft.com/office/drawing/2014/main" xmlns="" id="{00000000-0008-0000-0D00-000052000000}"/>
            </a:ext>
          </a:extLst>
        </xdr:cNvPr>
        <xdr:cNvSpPr txBox="1"/>
      </xdr:nvSpPr>
      <xdr:spPr>
        <a:xfrm>
          <a:off x="2697615" y="2474115"/>
          <a:ext cx="1772931" cy="68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latinLnBrk="0" hangingPunct="1"/>
          <a:r>
            <a:rPr lang="ru-RU" sz="1100" b="1">
              <a:solidFill>
                <a:schemeClr val="dk1"/>
              </a:solidFill>
              <a:latin typeface="+mn-lt"/>
              <a:ea typeface="+mn-ea"/>
              <a:cs typeface="+mn-cs"/>
            </a:rPr>
            <a:t>Интеграция с журналами антивируссной активности (</a:t>
          </a:r>
          <a:r>
            <a:rPr lang="en-US" sz="1100" b="1">
              <a:solidFill>
                <a:schemeClr val="dk1"/>
              </a:solidFill>
              <a:latin typeface="+mn-lt"/>
              <a:ea typeface="+mn-ea"/>
              <a:cs typeface="+mn-cs"/>
            </a:rPr>
            <a:t>Kaspersky Endpoint Security</a:t>
          </a:r>
          <a:r>
            <a:rPr lang="ru-RU" sz="1100" b="1">
              <a:solidFill>
                <a:schemeClr val="dk1"/>
              </a:solidFill>
              <a:latin typeface="+mn-lt"/>
              <a:ea typeface="+mn-ea"/>
              <a:cs typeface="+mn-cs"/>
            </a:rPr>
            <a:t>)</a:t>
          </a:r>
        </a:p>
      </xdr:txBody>
    </xdr:sp>
    <xdr:clientData/>
  </xdr:twoCellAnchor>
  <xdr:oneCellAnchor>
    <xdr:from>
      <xdr:col>3</xdr:col>
      <xdr:colOff>171239</xdr:colOff>
      <xdr:row>12</xdr:row>
      <xdr:rowOff>813371</xdr:rowOff>
    </xdr:from>
    <xdr:ext cx="792978" cy="720825"/>
    <xdr:pic>
      <xdr:nvPicPr>
        <xdr:cNvPr id="83" name="Рисунок 82">
          <a:extLst>
            <a:ext uri="{FF2B5EF4-FFF2-40B4-BE49-F238E27FC236}">
              <a16:creationId xmlns:a16="http://schemas.microsoft.com/office/drawing/2014/main" xmlns="" id="{00000000-0008-0000-0D00-000053000000}"/>
            </a:ext>
          </a:extLst>
        </xdr:cNvPr>
        <xdr:cNvPicPr>
          <a:picLocks noChangeAspect="1"/>
        </xdr:cNvPicPr>
      </xdr:nvPicPr>
      <xdr:blipFill>
        <a:blip xmlns:r="http://schemas.openxmlformats.org/officeDocument/2006/relationships" r:embed="rId42"/>
        <a:stretch>
          <a:fillRect/>
        </a:stretch>
      </xdr:blipFill>
      <xdr:spPr>
        <a:xfrm>
          <a:off x="2000039" y="2480246"/>
          <a:ext cx="792978" cy="720825"/>
        </a:xfrm>
        <a:prstGeom prst="rect">
          <a:avLst/>
        </a:prstGeom>
      </xdr:spPr>
    </xdr:pic>
    <xdr:clientData/>
  </xdr:oneCellAnchor>
  <xdr:oneCellAnchor>
    <xdr:from>
      <xdr:col>12</xdr:col>
      <xdr:colOff>163251</xdr:colOff>
      <xdr:row>12</xdr:row>
      <xdr:rowOff>846192</xdr:rowOff>
    </xdr:from>
    <xdr:ext cx="733454" cy="717051"/>
    <xdr:pic>
      <xdr:nvPicPr>
        <xdr:cNvPr id="84" name="Рисунок 83">
          <a:extLst>
            <a:ext uri="{FF2B5EF4-FFF2-40B4-BE49-F238E27FC236}">
              <a16:creationId xmlns:a16="http://schemas.microsoft.com/office/drawing/2014/main" xmlns="" id="{00000000-0008-0000-0D00-000054000000}"/>
            </a:ext>
          </a:extLst>
        </xdr:cNvPr>
        <xdr:cNvPicPr>
          <a:picLocks noChangeAspect="1"/>
        </xdr:cNvPicPr>
      </xdr:nvPicPr>
      <xdr:blipFill rotWithShape="1">
        <a:blip xmlns:r="http://schemas.openxmlformats.org/officeDocument/2006/relationships" r:embed="rId43">
          <a:extLst>
            <a:ext uri="{BEBA8EAE-BF5A-486C-A8C5-ECC9F3942E4B}">
              <a14:imgProps xmlns:a14="http://schemas.microsoft.com/office/drawing/2010/main">
                <a14:imgLayer r:embed="rId44">
                  <a14:imgEffect>
                    <a14:backgroundRemoval t="8333" b="88889" l="3540" r="96018">
                      <a14:foregroundMark x1="7965" y1="22222" x2="3540" y2="80556"/>
                      <a14:foregroundMark x1="37316" y1="29167" x2="31858" y2="76389"/>
                      <a14:foregroundMark x1="32596" y1="27778" x2="36578" y2="83333"/>
                      <a14:foregroundMark x1="65782" y1="30556" x2="59587" y2="80556"/>
                      <a14:foregroundMark x1="62537" y1="40278" x2="65192" y2="77778"/>
                      <a14:foregroundMark x1="96018" y1="33333" x2="89676" y2="63889"/>
                      <a14:foregroundMark x1="89823" y1="29167" x2="94248" y2="86111"/>
                    </a14:backgroundRemoval>
                  </a14:imgEffect>
                </a14:imgLayer>
              </a14:imgProps>
            </a:ext>
          </a:extLst>
        </a:blip>
        <a:srcRect l="87990" t="11228" r="2397"/>
        <a:stretch/>
      </xdr:blipFill>
      <xdr:spPr>
        <a:xfrm>
          <a:off x="8875451" y="19807292"/>
          <a:ext cx="733454" cy="717051"/>
        </a:xfrm>
        <a:prstGeom prst="rect">
          <a:avLst/>
        </a:prstGeom>
      </xdr:spPr>
    </xdr:pic>
    <xdr:clientData/>
  </xdr:oneCellAnchor>
  <xdr:oneCellAnchor>
    <xdr:from>
      <xdr:col>7</xdr:col>
      <xdr:colOff>417391</xdr:colOff>
      <xdr:row>12</xdr:row>
      <xdr:rowOff>834776</xdr:rowOff>
    </xdr:from>
    <xdr:ext cx="659482" cy="680591"/>
    <xdr:pic>
      <xdr:nvPicPr>
        <xdr:cNvPr id="85" name="Рисунок 84">
          <a:extLst>
            <a:ext uri="{FF2B5EF4-FFF2-40B4-BE49-F238E27FC236}">
              <a16:creationId xmlns:a16="http://schemas.microsoft.com/office/drawing/2014/main" xmlns="" id="{00000000-0008-0000-0D00-000055000000}"/>
            </a:ext>
          </a:extLst>
        </xdr:cNvPr>
        <xdr:cNvPicPr>
          <a:picLocks noChangeAspect="1"/>
        </xdr:cNvPicPr>
      </xdr:nvPicPr>
      <xdr:blipFill rotWithShape="1">
        <a:blip xmlns:r="http://schemas.openxmlformats.org/officeDocument/2006/relationships" r:embed="rId45" cstate="screen">
          <a:extLst>
            <a:ext uri="{28A0092B-C50C-407E-A947-70E740481C1C}">
              <a14:useLocalDpi xmlns:a14="http://schemas.microsoft.com/office/drawing/2010/main"/>
            </a:ext>
          </a:extLst>
        </a:blip>
        <a:srcRect l="15054" t="6073" r="18279" b="1564"/>
        <a:stretch/>
      </xdr:blipFill>
      <xdr:spPr>
        <a:xfrm>
          <a:off x="4684591" y="2473076"/>
          <a:ext cx="659482" cy="680591"/>
        </a:xfrm>
        <a:prstGeom prst="rect">
          <a:avLst/>
        </a:prstGeom>
      </xdr:spPr>
    </xdr:pic>
    <xdr:clientData/>
  </xdr:oneCellAnchor>
  <xdr:oneCellAnchor>
    <xdr:from>
      <xdr:col>0</xdr:col>
      <xdr:colOff>146027</xdr:colOff>
      <xdr:row>16</xdr:row>
      <xdr:rowOff>8035</xdr:rowOff>
    </xdr:from>
    <xdr:ext cx="803866" cy="711326"/>
    <xdr:pic>
      <xdr:nvPicPr>
        <xdr:cNvPr id="86" name="Рисунок 85">
          <a:extLst>
            <a:ext uri="{FF2B5EF4-FFF2-40B4-BE49-F238E27FC236}">
              <a16:creationId xmlns:a16="http://schemas.microsoft.com/office/drawing/2014/main" xmlns="" id="{00000000-0008-0000-0D00-000056000000}"/>
            </a:ext>
          </a:extLst>
        </xdr:cNvPr>
        <xdr:cNvPicPr>
          <a:picLocks noChangeAspect="1"/>
        </xdr:cNvPicPr>
      </xdr:nvPicPr>
      <xdr:blipFill>
        <a:blip xmlns:r="http://schemas.openxmlformats.org/officeDocument/2006/relationships" r:embed="rId46"/>
        <a:stretch>
          <a:fillRect/>
        </a:stretch>
      </xdr:blipFill>
      <xdr:spPr>
        <a:xfrm>
          <a:off x="146027" y="3056035"/>
          <a:ext cx="803866" cy="711326"/>
        </a:xfrm>
        <a:prstGeom prst="rect">
          <a:avLst/>
        </a:prstGeom>
      </xdr:spPr>
    </xdr:pic>
    <xdr:clientData/>
  </xdr:oneCellAnchor>
  <xdr:oneCellAnchor>
    <xdr:from>
      <xdr:col>0</xdr:col>
      <xdr:colOff>115178</xdr:colOff>
      <xdr:row>18</xdr:row>
      <xdr:rowOff>1918979</xdr:rowOff>
    </xdr:from>
    <xdr:ext cx="833033" cy="793331"/>
    <xdr:pic>
      <xdr:nvPicPr>
        <xdr:cNvPr id="87" name="Рисунок 86">
          <a:extLst>
            <a:ext uri="{FF2B5EF4-FFF2-40B4-BE49-F238E27FC236}">
              <a16:creationId xmlns:a16="http://schemas.microsoft.com/office/drawing/2014/main" xmlns="" id="{00000000-0008-0000-0D00-000057000000}"/>
            </a:ext>
          </a:extLst>
        </xdr:cNvPr>
        <xdr:cNvPicPr>
          <a:picLocks noChangeAspect="1"/>
        </xdr:cNvPicPr>
      </xdr:nvPicPr>
      <xdr:blipFill>
        <a:blip xmlns:r="http://schemas.openxmlformats.org/officeDocument/2006/relationships" r:embed="rId47"/>
        <a:stretch>
          <a:fillRect/>
        </a:stretch>
      </xdr:blipFill>
      <xdr:spPr>
        <a:xfrm>
          <a:off x="115178" y="3623954"/>
          <a:ext cx="833033" cy="793331"/>
        </a:xfrm>
        <a:prstGeom prst="rect">
          <a:avLst/>
        </a:prstGeom>
      </xdr:spPr>
    </xdr:pic>
    <xdr:clientData/>
  </xdr:oneCellAnchor>
  <xdr:oneCellAnchor>
    <xdr:from>
      <xdr:col>0</xdr:col>
      <xdr:colOff>162171</xdr:colOff>
      <xdr:row>15</xdr:row>
      <xdr:rowOff>1448963</xdr:rowOff>
    </xdr:from>
    <xdr:ext cx="725970" cy="710366"/>
    <xdr:pic>
      <xdr:nvPicPr>
        <xdr:cNvPr id="88" name="Рисунок 87">
          <a:extLst>
            <a:ext uri="{FF2B5EF4-FFF2-40B4-BE49-F238E27FC236}">
              <a16:creationId xmlns:a16="http://schemas.microsoft.com/office/drawing/2014/main" xmlns="" id="{00000000-0008-0000-0D00-000058000000}"/>
            </a:ext>
          </a:extLst>
        </xdr:cNvPr>
        <xdr:cNvPicPr>
          <a:picLocks noChangeAspect="1"/>
        </xdr:cNvPicPr>
      </xdr:nvPicPr>
      <xdr:blipFill>
        <a:blip xmlns:r="http://schemas.openxmlformats.org/officeDocument/2006/relationships" r:embed="rId48"/>
        <a:stretch>
          <a:fillRect/>
        </a:stretch>
      </xdr:blipFill>
      <xdr:spPr>
        <a:xfrm>
          <a:off x="162171" y="3049163"/>
          <a:ext cx="725970" cy="710366"/>
        </a:xfrm>
        <a:prstGeom prst="rect">
          <a:avLst/>
        </a:prstGeom>
      </xdr:spPr>
    </xdr:pic>
    <xdr:clientData/>
  </xdr:oneCellAnchor>
  <xdr:oneCellAnchor>
    <xdr:from>
      <xdr:col>0</xdr:col>
      <xdr:colOff>151592</xdr:colOff>
      <xdr:row>18</xdr:row>
      <xdr:rowOff>1114067</xdr:rowOff>
    </xdr:from>
    <xdr:ext cx="742476" cy="733845"/>
    <xdr:pic>
      <xdr:nvPicPr>
        <xdr:cNvPr id="89" name="Рисунок 88">
          <a:extLst>
            <a:ext uri="{FF2B5EF4-FFF2-40B4-BE49-F238E27FC236}">
              <a16:creationId xmlns:a16="http://schemas.microsoft.com/office/drawing/2014/main" xmlns="" id="{00000000-0008-0000-0D00-000059000000}"/>
            </a:ext>
          </a:extLst>
        </xdr:cNvPr>
        <xdr:cNvPicPr>
          <a:picLocks noChangeAspect="1"/>
        </xdr:cNvPicPr>
      </xdr:nvPicPr>
      <xdr:blipFill>
        <a:blip xmlns:r="http://schemas.openxmlformats.org/officeDocument/2006/relationships" r:embed="rId49"/>
        <a:stretch>
          <a:fillRect/>
        </a:stretch>
      </xdr:blipFill>
      <xdr:spPr>
        <a:xfrm>
          <a:off x="151592" y="3619142"/>
          <a:ext cx="742476" cy="733845"/>
        </a:xfrm>
        <a:prstGeom prst="rect">
          <a:avLst/>
        </a:prstGeom>
      </xdr:spPr>
    </xdr:pic>
    <xdr:clientData/>
  </xdr:oneCellAnchor>
  <xdr:twoCellAnchor>
    <xdr:from>
      <xdr:col>1</xdr:col>
      <xdr:colOff>869577</xdr:colOff>
      <xdr:row>17</xdr:row>
      <xdr:rowOff>52927</xdr:rowOff>
    </xdr:from>
    <xdr:to>
      <xdr:col>10</xdr:col>
      <xdr:colOff>207596</xdr:colOff>
      <xdr:row>18</xdr:row>
      <xdr:rowOff>354135</xdr:rowOff>
    </xdr:to>
    <xdr:sp macro="" textlink="">
      <xdr:nvSpPr>
        <xdr:cNvPr id="90" name="TextBox 89">
          <a:extLst>
            <a:ext uri="{FF2B5EF4-FFF2-40B4-BE49-F238E27FC236}">
              <a16:creationId xmlns:a16="http://schemas.microsoft.com/office/drawing/2014/main" xmlns="" id="{00000000-0008-0000-0D00-00005A000000}"/>
            </a:ext>
          </a:extLst>
        </xdr:cNvPr>
        <xdr:cNvSpPr txBox="1"/>
      </xdr:nvSpPr>
      <xdr:spPr>
        <a:xfrm>
          <a:off x="1222002" y="3291427"/>
          <a:ext cx="5081594" cy="3297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600"/>
            </a:spcBef>
            <a:spcAft>
              <a:spcPts val="0"/>
            </a:spcAft>
            <a:buClrTx/>
            <a:buSzTx/>
            <a:buFont typeface="Wingdings" panose="05000000000000000000" pitchFamily="2" charset="2"/>
            <a:buNone/>
            <a:tabLst/>
            <a:defRPr/>
          </a:pPr>
          <a:r>
            <a:rPr lang="ru-RU" sz="1100" b="1" i="0" baseline="0">
              <a:solidFill>
                <a:schemeClr val="dk1"/>
              </a:solidFill>
              <a:effectLst/>
              <a:latin typeface="+mn-lt"/>
              <a:ea typeface="+mn-ea"/>
              <a:cs typeface="+mn-cs"/>
            </a:rPr>
            <a:t>Прозрачное преобразование жестких дисков — </a:t>
          </a:r>
          <a:r>
            <a:rPr lang="ru-RU" sz="1100" b="0" i="0" baseline="0">
              <a:solidFill>
                <a:schemeClr val="dk1"/>
              </a:solidFill>
              <a:effectLst/>
              <a:latin typeface="+mn-lt"/>
              <a:ea typeface="+mn-ea"/>
              <a:cs typeface="+mn-cs"/>
            </a:rPr>
            <a:t>обеспечивает автоматическое преобразование данных на локальных и съемных дисках, защищая их при попытках доступа вне системы защиты </a:t>
          </a:r>
          <a:r>
            <a:rPr lang="en-US" sz="1100" b="0" i="0" baseline="0">
              <a:solidFill>
                <a:schemeClr val="dk1"/>
              </a:solidFill>
              <a:effectLst/>
              <a:latin typeface="+mn-lt"/>
              <a:ea typeface="+mn-ea"/>
              <a:cs typeface="+mn-cs"/>
            </a:rPr>
            <a:t>Dallas Lock</a:t>
          </a:r>
          <a:endParaRPr lang="ru-RU" sz="1100" b="0" i="0" baseline="0">
            <a:solidFill>
              <a:schemeClr val="dk1"/>
            </a:solidFill>
            <a:effectLst/>
            <a:latin typeface="+mn-lt"/>
            <a:ea typeface="+mn-ea"/>
            <a:cs typeface="+mn-cs"/>
          </a:endParaRPr>
        </a:p>
      </xdr:txBody>
    </xdr:sp>
    <xdr:clientData/>
  </xdr:twoCellAnchor>
  <xdr:twoCellAnchor>
    <xdr:from>
      <xdr:col>1</xdr:col>
      <xdr:colOff>887506</xdr:colOff>
      <xdr:row>18</xdr:row>
      <xdr:rowOff>1152466</xdr:rowOff>
    </xdr:from>
    <xdr:to>
      <xdr:col>12</xdr:col>
      <xdr:colOff>240195</xdr:colOff>
      <xdr:row>18</xdr:row>
      <xdr:rowOff>1961033</xdr:rowOff>
    </xdr:to>
    <xdr:sp macro="" textlink="">
      <xdr:nvSpPr>
        <xdr:cNvPr id="91" name="TextBox 90">
          <a:extLst>
            <a:ext uri="{FF2B5EF4-FFF2-40B4-BE49-F238E27FC236}">
              <a16:creationId xmlns:a16="http://schemas.microsoft.com/office/drawing/2014/main" xmlns="" id="{00000000-0008-0000-0D00-00005B000000}"/>
            </a:ext>
          </a:extLst>
        </xdr:cNvPr>
        <xdr:cNvSpPr txBox="1"/>
      </xdr:nvSpPr>
      <xdr:spPr>
        <a:xfrm>
          <a:off x="1220881" y="3619441"/>
          <a:ext cx="6334514" cy="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600"/>
            </a:spcBef>
            <a:spcAft>
              <a:spcPts val="0"/>
            </a:spcAft>
            <a:buClrTx/>
            <a:buSzTx/>
            <a:buFont typeface="Wingdings" panose="05000000000000000000" pitchFamily="2" charset="2"/>
            <a:buNone/>
            <a:tabLst/>
            <a:defRPr/>
          </a:pPr>
          <a:r>
            <a:rPr lang="ru-RU" sz="1100" b="1" i="0" baseline="0">
              <a:solidFill>
                <a:schemeClr val="dk1"/>
              </a:solidFill>
              <a:effectLst/>
              <a:latin typeface="+mn-lt"/>
              <a:ea typeface="+mn-ea"/>
              <a:cs typeface="+mn-cs"/>
            </a:rPr>
            <a:t>Расширенные параметры очистки остаточной информации в конфиденциальных сеансах доступа — </a:t>
          </a:r>
          <a:r>
            <a:rPr lang="ru-RU" sz="1100" b="0" i="0" baseline="0">
              <a:solidFill>
                <a:schemeClr val="dk1"/>
              </a:solidFill>
              <a:effectLst/>
              <a:latin typeface="+mn-lt"/>
              <a:ea typeface="+mn-ea"/>
              <a:cs typeface="+mn-cs"/>
            </a:rPr>
            <a:t>автоматическая зачистка освобождаемого дискового пространства при удалении или изменении файлов в конфиденциальных сеансах, защищая данные при работе с повышенными уровнями доступа</a:t>
          </a:r>
        </a:p>
      </xdr:txBody>
    </xdr:sp>
    <xdr:clientData/>
  </xdr:twoCellAnchor>
  <xdr:twoCellAnchor>
    <xdr:from>
      <xdr:col>1</xdr:col>
      <xdr:colOff>888383</xdr:colOff>
      <xdr:row>18</xdr:row>
      <xdr:rowOff>450295</xdr:rowOff>
    </xdr:from>
    <xdr:to>
      <xdr:col>11</xdr:col>
      <xdr:colOff>347869</xdr:colOff>
      <xdr:row>18</xdr:row>
      <xdr:rowOff>1016816</xdr:rowOff>
    </xdr:to>
    <xdr:sp macro="" textlink="">
      <xdr:nvSpPr>
        <xdr:cNvPr id="92" name="TextBox 91">
          <a:extLst>
            <a:ext uri="{FF2B5EF4-FFF2-40B4-BE49-F238E27FC236}">
              <a16:creationId xmlns:a16="http://schemas.microsoft.com/office/drawing/2014/main" xmlns="" id="{00000000-0008-0000-0D00-00005C000000}"/>
            </a:ext>
          </a:extLst>
        </xdr:cNvPr>
        <xdr:cNvSpPr txBox="1"/>
      </xdr:nvSpPr>
      <xdr:spPr>
        <a:xfrm>
          <a:off x="1221758" y="3622120"/>
          <a:ext cx="5831711" cy="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600"/>
            </a:spcBef>
            <a:spcAft>
              <a:spcPts val="0"/>
            </a:spcAft>
            <a:buClrTx/>
            <a:buSzTx/>
            <a:buFont typeface="Wingdings" panose="05000000000000000000" pitchFamily="2" charset="2"/>
            <a:buNone/>
            <a:tabLst/>
            <a:defRPr/>
          </a:pPr>
          <a:r>
            <a:rPr lang="ru-RU" sz="1100" b="1" i="0" baseline="0">
              <a:solidFill>
                <a:schemeClr val="dk1"/>
              </a:solidFill>
              <a:effectLst/>
              <a:latin typeface="+mn-lt"/>
              <a:ea typeface="+mn-ea"/>
              <a:cs typeface="+mn-cs"/>
            </a:rPr>
            <a:t>Мандатный принцип разграничения доступа — </a:t>
          </a:r>
          <a:r>
            <a:rPr lang="ru-RU" sz="1100" b="0" i="0" baseline="0">
              <a:solidFill>
                <a:schemeClr val="dk1"/>
              </a:solidFill>
              <a:effectLst/>
              <a:latin typeface="+mn-lt"/>
              <a:ea typeface="+mn-ea"/>
              <a:cs typeface="+mn-cs"/>
            </a:rPr>
            <a:t>устанавливает уровни доступа к файлам и устройствам в зависимости от их важности и присвоенных мандатных меток, что обеспечивает строгий контроль над доступом</a:t>
          </a:r>
        </a:p>
      </xdr:txBody>
    </xdr:sp>
    <xdr:clientData/>
  </xdr:twoCellAnchor>
  <xdr:twoCellAnchor>
    <xdr:from>
      <xdr:col>1</xdr:col>
      <xdr:colOff>887629</xdr:colOff>
      <xdr:row>18</xdr:row>
      <xdr:rowOff>2055661</xdr:rowOff>
    </xdr:from>
    <xdr:to>
      <xdr:col>12</xdr:col>
      <xdr:colOff>313108</xdr:colOff>
      <xdr:row>18</xdr:row>
      <xdr:rowOff>2812678</xdr:rowOff>
    </xdr:to>
    <xdr:sp macro="" textlink="">
      <xdr:nvSpPr>
        <xdr:cNvPr id="93" name="TextBox 92">
          <a:extLst>
            <a:ext uri="{FF2B5EF4-FFF2-40B4-BE49-F238E27FC236}">
              <a16:creationId xmlns:a16="http://schemas.microsoft.com/office/drawing/2014/main" xmlns="" id="{00000000-0008-0000-0D00-00005D000000}"/>
            </a:ext>
          </a:extLst>
        </xdr:cNvPr>
        <xdr:cNvSpPr txBox="1"/>
      </xdr:nvSpPr>
      <xdr:spPr>
        <a:xfrm>
          <a:off x="1221004" y="3617761"/>
          <a:ext cx="6407304" cy="454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600"/>
            </a:spcBef>
            <a:spcAft>
              <a:spcPts val="0"/>
            </a:spcAft>
            <a:buClrTx/>
            <a:buSzTx/>
            <a:buFont typeface="Wingdings" panose="05000000000000000000" pitchFamily="2" charset="2"/>
            <a:buNone/>
            <a:tabLst/>
            <a:defRPr/>
          </a:pPr>
          <a:r>
            <a:rPr lang="ru-RU" b="1"/>
            <a:t>Средство контроля съёмных носителей информации (СКН)</a:t>
          </a:r>
          <a:r>
            <a:rPr lang="ru-RU"/>
            <a:t> </a:t>
          </a:r>
          <a:r>
            <a:rPr lang="ru-RU" sz="1100" b="1">
              <a:solidFill>
                <a:schemeClr val="dk1"/>
              </a:solidFill>
              <a:effectLst/>
              <a:latin typeface="+mn-lt"/>
              <a:ea typeface="+mn-ea"/>
              <a:cs typeface="+mn-cs"/>
            </a:rPr>
            <a:t>)</a:t>
          </a:r>
          <a:r>
            <a:rPr lang="ru-RU" sz="1100">
              <a:solidFill>
                <a:schemeClr val="dk1"/>
              </a:solidFill>
              <a:effectLst/>
              <a:latin typeface="+mn-lt"/>
              <a:ea typeface="+mn-ea"/>
              <a:cs typeface="+mn-cs"/>
            </a:rPr>
            <a:t> сертифицирован по 2 классу защиты информации (ИТ.СКН.П2.ПЗ)</a:t>
          </a:r>
          <a:r>
            <a:rPr lang="en-US" sz="1100">
              <a:solidFill>
                <a:schemeClr val="dk1"/>
              </a:solidFill>
              <a:effectLst/>
              <a:latin typeface="+mn-lt"/>
              <a:ea typeface="+mn-ea"/>
              <a:cs typeface="+mn-cs"/>
            </a:rPr>
            <a:t>.</a:t>
          </a:r>
          <a:r>
            <a:rPr lang="ru-RU"/>
            <a:t> Дополнительно реализована возможность назначения мандатных уровней на сменный накопитель для отдельных пользователей или групп пользователей</a:t>
          </a:r>
          <a:endParaRPr lang="ru-RU" sz="1100" b="0" i="0" baseline="0">
            <a:solidFill>
              <a:schemeClr val="dk1"/>
            </a:solidFill>
            <a:effectLst/>
            <a:latin typeface="+mn-lt"/>
            <a:ea typeface="+mn-ea"/>
            <a:cs typeface="+mn-cs"/>
          </a:endParaRPr>
        </a:p>
      </xdr:txBody>
    </xdr:sp>
    <xdr:clientData/>
  </xdr:twoCellAnchor>
  <xdr:oneCellAnchor>
    <xdr:from>
      <xdr:col>3</xdr:col>
      <xdr:colOff>161737</xdr:colOff>
      <xdr:row>29</xdr:row>
      <xdr:rowOff>21995</xdr:rowOff>
    </xdr:from>
    <xdr:ext cx="774364" cy="341846"/>
    <xdr:pic>
      <xdr:nvPicPr>
        <xdr:cNvPr id="94" name="Picture 8">
          <a:extLst>
            <a:ext uri="{FF2B5EF4-FFF2-40B4-BE49-F238E27FC236}">
              <a16:creationId xmlns:a16="http://schemas.microsoft.com/office/drawing/2014/main" xmlns="" id="{00000000-0008-0000-0D00-00005E000000}"/>
            </a:ext>
          </a:extLst>
        </xdr:cNvPr>
        <xdr:cNvPicPr>
          <a:picLocks noChangeAspect="1" noChangeArrowheads="1"/>
        </xdr:cNvPicPr>
      </xdr:nvPicPr>
      <xdr:blipFill>
        <a:blip xmlns:r="http://schemas.openxmlformats.org/officeDocument/2006/relationships" r:embed="rId50">
          <a:extLst>
            <a:ext uri="{BEBA8EAE-BF5A-486C-A8C5-ECC9F3942E4B}">
              <a14:imgProps xmlns:a14="http://schemas.microsoft.com/office/drawing/2010/main">
                <a14:imgLayer r:embed="rId51">
                  <a14:imgEffect>
                    <a14:backgroundRemoval t="7692" b="89744" l="9412" r="95294">
                      <a14:foregroundMark x1="25882" y1="12821" x2="70588" y2="71795"/>
                      <a14:foregroundMark x1="70588" y1="71795" x2="89412" y2="46154"/>
                      <a14:foregroundMark x1="89412" y1="46154" x2="83529" y2="69231"/>
                      <a14:foregroundMark x1="88235" y1="23077" x2="84706" y2="30769"/>
                      <a14:foregroundMark x1="94118" y1="17949" x2="95294" y2="87179"/>
                      <a14:foregroundMark x1="31765" y1="82051" x2="31765" y2="82051"/>
                    </a14:backgroundRemoval>
                  </a14:imgEffect>
                </a14:imgLayer>
              </a14:imgProps>
            </a:ext>
            <a:ext uri="{28A0092B-C50C-407E-A947-70E740481C1C}">
              <a14:useLocalDpi xmlns:a14="http://schemas.microsoft.com/office/drawing/2010/main"/>
            </a:ext>
          </a:extLst>
        </a:blip>
        <a:srcRect/>
        <a:stretch>
          <a:fillRect/>
        </a:stretch>
      </xdr:blipFill>
      <xdr:spPr bwMode="auto">
        <a:xfrm>
          <a:off x="1990537" y="5546495"/>
          <a:ext cx="774364" cy="341846"/>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oneCellAnchor>
  <xdr:oneCellAnchor>
    <xdr:from>
      <xdr:col>4</xdr:col>
      <xdr:colOff>382020</xdr:colOff>
      <xdr:row>28</xdr:row>
      <xdr:rowOff>124904</xdr:rowOff>
    </xdr:from>
    <xdr:ext cx="409596" cy="491800"/>
    <xdr:pic>
      <xdr:nvPicPr>
        <xdr:cNvPr id="95" name="Рисунок 94">
          <a:extLst>
            <a:ext uri="{FF2B5EF4-FFF2-40B4-BE49-F238E27FC236}">
              <a16:creationId xmlns:a16="http://schemas.microsoft.com/office/drawing/2014/main" xmlns="" id="{00000000-0008-0000-0D00-00005F000000}"/>
            </a:ext>
          </a:extLst>
        </xdr:cNvPr>
        <xdr:cNvPicPr/>
      </xdr:nvPicPr>
      <xdr:blipFill>
        <a:blip xmlns:r="http://schemas.openxmlformats.org/officeDocument/2006/relationships" r:embed="rId52" cstate="print">
          <a:extLst>
            <a:ext uri="{28A0092B-C50C-407E-A947-70E740481C1C}">
              <a14:useLocalDpi xmlns:a14="http://schemas.microsoft.com/office/drawing/2010/main" val="0"/>
            </a:ext>
          </a:extLst>
        </a:blip>
        <a:stretch>
          <a:fillRect/>
        </a:stretch>
      </xdr:blipFill>
      <xdr:spPr>
        <a:xfrm>
          <a:off x="2820420" y="5458904"/>
          <a:ext cx="409596" cy="491800"/>
        </a:xfrm>
        <a:prstGeom prst="rect">
          <a:avLst/>
        </a:prstGeom>
      </xdr:spPr>
    </xdr:pic>
    <xdr:clientData/>
  </xdr:oneCellAnchor>
  <xdr:twoCellAnchor>
    <xdr:from>
      <xdr:col>3</xdr:col>
      <xdr:colOff>523229</xdr:colOff>
      <xdr:row>27</xdr:row>
      <xdr:rowOff>40346</xdr:rowOff>
    </xdr:from>
    <xdr:to>
      <xdr:col>4</xdr:col>
      <xdr:colOff>588340</xdr:colOff>
      <xdr:row>28</xdr:row>
      <xdr:rowOff>111463</xdr:rowOff>
    </xdr:to>
    <xdr:sp macro="" textlink="">
      <xdr:nvSpPr>
        <xdr:cNvPr id="96" name="Стрелка: изогнутая вверх 95">
          <a:extLst>
            <a:ext uri="{FF2B5EF4-FFF2-40B4-BE49-F238E27FC236}">
              <a16:creationId xmlns:a16="http://schemas.microsoft.com/office/drawing/2014/main" xmlns="" id="{00000000-0008-0000-0D00-000060000000}"/>
            </a:ext>
          </a:extLst>
        </xdr:cNvPr>
        <xdr:cNvSpPr/>
      </xdr:nvSpPr>
      <xdr:spPr>
        <a:xfrm rot="10800000" flipH="1">
          <a:off x="3647429" y="37488413"/>
          <a:ext cx="691644" cy="257383"/>
        </a:xfrm>
        <a:prstGeom prst="curvedUpArrow">
          <a:avLst/>
        </a:prstGeom>
        <a:solidFill>
          <a:schemeClr val="tx2">
            <a:lumMod val="20000"/>
            <a:lumOff val="80000"/>
          </a:schemeClr>
        </a:solidFill>
        <a:ln>
          <a:solidFill>
            <a:schemeClr val="tx2">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ru-RU"/>
          </a:defPPr>
          <a:lvl1pPr marL="0" algn="l" defTabSz="1727699" rtl="0" eaLnBrk="1" latinLnBrk="0" hangingPunct="1">
            <a:defRPr sz="3400" kern="1200">
              <a:solidFill>
                <a:schemeClr val="lt1"/>
              </a:solidFill>
              <a:latin typeface="+mn-lt"/>
              <a:ea typeface="+mn-ea"/>
              <a:cs typeface="+mn-cs"/>
            </a:defRPr>
          </a:lvl1pPr>
          <a:lvl2pPr marL="863849" algn="l" defTabSz="1727699" rtl="0" eaLnBrk="1" latinLnBrk="0" hangingPunct="1">
            <a:defRPr sz="3400" kern="1200">
              <a:solidFill>
                <a:schemeClr val="lt1"/>
              </a:solidFill>
              <a:latin typeface="+mn-lt"/>
              <a:ea typeface="+mn-ea"/>
              <a:cs typeface="+mn-cs"/>
            </a:defRPr>
          </a:lvl2pPr>
          <a:lvl3pPr marL="1727699" algn="l" defTabSz="1727699" rtl="0" eaLnBrk="1" latinLnBrk="0" hangingPunct="1">
            <a:defRPr sz="3400" kern="1200">
              <a:solidFill>
                <a:schemeClr val="lt1"/>
              </a:solidFill>
              <a:latin typeface="+mn-lt"/>
              <a:ea typeface="+mn-ea"/>
              <a:cs typeface="+mn-cs"/>
            </a:defRPr>
          </a:lvl3pPr>
          <a:lvl4pPr marL="2591548" algn="l" defTabSz="1727699" rtl="0" eaLnBrk="1" latinLnBrk="0" hangingPunct="1">
            <a:defRPr sz="3400" kern="1200">
              <a:solidFill>
                <a:schemeClr val="lt1"/>
              </a:solidFill>
              <a:latin typeface="+mn-lt"/>
              <a:ea typeface="+mn-ea"/>
              <a:cs typeface="+mn-cs"/>
            </a:defRPr>
          </a:lvl4pPr>
          <a:lvl5pPr marL="3455397" algn="l" defTabSz="1727699" rtl="0" eaLnBrk="1" latinLnBrk="0" hangingPunct="1">
            <a:defRPr sz="3400" kern="1200">
              <a:solidFill>
                <a:schemeClr val="lt1"/>
              </a:solidFill>
              <a:latin typeface="+mn-lt"/>
              <a:ea typeface="+mn-ea"/>
              <a:cs typeface="+mn-cs"/>
            </a:defRPr>
          </a:lvl5pPr>
          <a:lvl6pPr marL="4319249" algn="l" defTabSz="1727699" rtl="0" eaLnBrk="1" latinLnBrk="0" hangingPunct="1">
            <a:defRPr sz="3400" kern="1200">
              <a:solidFill>
                <a:schemeClr val="lt1"/>
              </a:solidFill>
              <a:latin typeface="+mn-lt"/>
              <a:ea typeface="+mn-ea"/>
              <a:cs typeface="+mn-cs"/>
            </a:defRPr>
          </a:lvl6pPr>
          <a:lvl7pPr marL="5183098" algn="l" defTabSz="1727699" rtl="0" eaLnBrk="1" latinLnBrk="0" hangingPunct="1">
            <a:defRPr sz="3400" kern="1200">
              <a:solidFill>
                <a:schemeClr val="lt1"/>
              </a:solidFill>
              <a:latin typeface="+mn-lt"/>
              <a:ea typeface="+mn-ea"/>
              <a:cs typeface="+mn-cs"/>
            </a:defRPr>
          </a:lvl7pPr>
          <a:lvl8pPr marL="6046950" algn="l" defTabSz="1727699" rtl="0" eaLnBrk="1" latinLnBrk="0" hangingPunct="1">
            <a:defRPr sz="3400" kern="1200">
              <a:solidFill>
                <a:schemeClr val="lt1"/>
              </a:solidFill>
              <a:latin typeface="+mn-lt"/>
              <a:ea typeface="+mn-ea"/>
              <a:cs typeface="+mn-cs"/>
            </a:defRPr>
          </a:lvl8pPr>
          <a:lvl9pPr marL="6910799" algn="l" defTabSz="1727699" rtl="0" eaLnBrk="1" latinLnBrk="0" hangingPunct="1">
            <a:defRPr sz="3400" kern="1200">
              <a:solidFill>
                <a:schemeClr val="lt1"/>
              </a:solidFill>
              <a:latin typeface="+mn-lt"/>
              <a:ea typeface="+mn-ea"/>
              <a:cs typeface="+mn-cs"/>
            </a:defRPr>
          </a:lvl9pPr>
        </a:lstStyle>
        <a:p>
          <a:pPr algn="ctr"/>
          <a:endParaRPr lang="ru-RU">
            <a:solidFill>
              <a:schemeClr val="tx1"/>
            </a:solidFill>
          </a:endParaRPr>
        </a:p>
      </xdr:txBody>
    </xdr:sp>
    <xdr:clientData/>
  </xdr:twoCellAnchor>
  <xdr:twoCellAnchor>
    <xdr:from>
      <xdr:col>1</xdr:col>
      <xdr:colOff>2178797</xdr:colOff>
      <xdr:row>32</xdr:row>
      <xdr:rowOff>63443</xdr:rowOff>
    </xdr:from>
    <xdr:to>
      <xdr:col>6</xdr:col>
      <xdr:colOff>409761</xdr:colOff>
      <xdr:row>35</xdr:row>
      <xdr:rowOff>100955</xdr:rowOff>
    </xdr:to>
    <xdr:sp macro="" textlink="">
      <xdr:nvSpPr>
        <xdr:cNvPr id="97" name="Прямоугольник 96">
          <a:extLst>
            <a:ext uri="{FF2B5EF4-FFF2-40B4-BE49-F238E27FC236}">
              <a16:creationId xmlns:a16="http://schemas.microsoft.com/office/drawing/2014/main" xmlns="" id="{00000000-0008-0000-0D00-000061000000}"/>
            </a:ext>
          </a:extLst>
        </xdr:cNvPr>
        <xdr:cNvSpPr/>
      </xdr:nvSpPr>
      <xdr:spPr>
        <a:xfrm>
          <a:off x="2365064" y="38442843"/>
          <a:ext cx="3048497" cy="596312"/>
        </a:xfrm>
        <a:prstGeom prst="rect">
          <a:avLst/>
        </a:prstGeom>
      </xdr:spPr>
      <xdr:txBody>
        <a:bodyPr wrap="square">
          <a:spAutoFit/>
        </a:bodyPr>
        <a:lstStyle>
          <a:defPPr>
            <a:defRPr lang="ru-RU"/>
          </a:defPPr>
          <a:lvl1pPr marL="0" algn="l" defTabSz="1727699" rtl="0" eaLnBrk="1" latinLnBrk="0" hangingPunct="1">
            <a:defRPr sz="3400" kern="1200">
              <a:solidFill>
                <a:schemeClr val="tx1"/>
              </a:solidFill>
              <a:latin typeface="+mn-lt"/>
              <a:ea typeface="+mn-ea"/>
              <a:cs typeface="+mn-cs"/>
            </a:defRPr>
          </a:lvl1pPr>
          <a:lvl2pPr marL="863849" algn="l" defTabSz="1727699" rtl="0" eaLnBrk="1" latinLnBrk="0" hangingPunct="1">
            <a:defRPr sz="3400" kern="1200">
              <a:solidFill>
                <a:schemeClr val="tx1"/>
              </a:solidFill>
              <a:latin typeface="+mn-lt"/>
              <a:ea typeface="+mn-ea"/>
              <a:cs typeface="+mn-cs"/>
            </a:defRPr>
          </a:lvl2pPr>
          <a:lvl3pPr marL="1727699" algn="l" defTabSz="1727699" rtl="0" eaLnBrk="1" latinLnBrk="0" hangingPunct="1">
            <a:defRPr sz="3400" kern="1200">
              <a:solidFill>
                <a:schemeClr val="tx1"/>
              </a:solidFill>
              <a:latin typeface="+mn-lt"/>
              <a:ea typeface="+mn-ea"/>
              <a:cs typeface="+mn-cs"/>
            </a:defRPr>
          </a:lvl3pPr>
          <a:lvl4pPr marL="2591548" algn="l" defTabSz="1727699" rtl="0" eaLnBrk="1" latinLnBrk="0" hangingPunct="1">
            <a:defRPr sz="3400" kern="1200">
              <a:solidFill>
                <a:schemeClr val="tx1"/>
              </a:solidFill>
              <a:latin typeface="+mn-lt"/>
              <a:ea typeface="+mn-ea"/>
              <a:cs typeface="+mn-cs"/>
            </a:defRPr>
          </a:lvl4pPr>
          <a:lvl5pPr marL="3455397" algn="l" defTabSz="1727699" rtl="0" eaLnBrk="1" latinLnBrk="0" hangingPunct="1">
            <a:defRPr sz="3400" kern="1200">
              <a:solidFill>
                <a:schemeClr val="tx1"/>
              </a:solidFill>
              <a:latin typeface="+mn-lt"/>
              <a:ea typeface="+mn-ea"/>
              <a:cs typeface="+mn-cs"/>
            </a:defRPr>
          </a:lvl5pPr>
          <a:lvl6pPr marL="4319249" algn="l" defTabSz="1727699" rtl="0" eaLnBrk="1" latinLnBrk="0" hangingPunct="1">
            <a:defRPr sz="3400" kern="1200">
              <a:solidFill>
                <a:schemeClr val="tx1"/>
              </a:solidFill>
              <a:latin typeface="+mn-lt"/>
              <a:ea typeface="+mn-ea"/>
              <a:cs typeface="+mn-cs"/>
            </a:defRPr>
          </a:lvl6pPr>
          <a:lvl7pPr marL="5183098" algn="l" defTabSz="1727699" rtl="0" eaLnBrk="1" latinLnBrk="0" hangingPunct="1">
            <a:defRPr sz="3400" kern="1200">
              <a:solidFill>
                <a:schemeClr val="tx1"/>
              </a:solidFill>
              <a:latin typeface="+mn-lt"/>
              <a:ea typeface="+mn-ea"/>
              <a:cs typeface="+mn-cs"/>
            </a:defRPr>
          </a:lvl7pPr>
          <a:lvl8pPr marL="6046950" algn="l" defTabSz="1727699" rtl="0" eaLnBrk="1" latinLnBrk="0" hangingPunct="1">
            <a:defRPr sz="3400" kern="1200">
              <a:solidFill>
                <a:schemeClr val="tx1"/>
              </a:solidFill>
              <a:latin typeface="+mn-lt"/>
              <a:ea typeface="+mn-ea"/>
              <a:cs typeface="+mn-cs"/>
            </a:defRPr>
          </a:lvl8pPr>
          <a:lvl9pPr marL="6910799" algn="l" defTabSz="1727699" rtl="0" eaLnBrk="1" latinLnBrk="0" hangingPunct="1">
            <a:defRPr sz="3400" kern="1200">
              <a:solidFill>
                <a:schemeClr val="tx1"/>
              </a:solidFill>
              <a:latin typeface="+mn-lt"/>
              <a:ea typeface="+mn-ea"/>
              <a:cs typeface="+mn-cs"/>
            </a:defRPr>
          </a:lvl9pPr>
        </a:lstStyle>
        <a:p>
          <a:pPr algn="ctr">
            <a:spcAft>
              <a:spcPts val="1200"/>
            </a:spcAft>
            <a:defRPr/>
          </a:pPr>
          <a:r>
            <a:rPr lang="ru-RU" sz="1100" b="1">
              <a:solidFill>
                <a:schemeClr val="dk1"/>
              </a:solidFill>
              <a:effectLst/>
              <a:latin typeface="+mn-lt"/>
              <a:ea typeface="+mn-ea"/>
              <a:cs typeface="+mn-cs"/>
            </a:rPr>
            <a:t>Миграция клиентов с СБ </a:t>
          </a:r>
          <a:r>
            <a:rPr lang="en-US" sz="1100" b="1">
              <a:solidFill>
                <a:schemeClr val="dk1"/>
              </a:solidFill>
              <a:effectLst/>
              <a:latin typeface="+mn-lt"/>
              <a:ea typeface="+mn-ea"/>
              <a:cs typeface="+mn-cs"/>
            </a:rPr>
            <a:t>Dallas Lock 8.0</a:t>
          </a:r>
          <a:r>
            <a:rPr lang="ru-RU" sz="1100" b="1">
              <a:solidFill>
                <a:schemeClr val="dk1"/>
              </a:solidFill>
              <a:effectLst/>
              <a:latin typeface="+mn-lt"/>
              <a:ea typeface="+mn-ea"/>
              <a:cs typeface="+mn-cs"/>
            </a:rPr>
            <a:t> на ЕЦУ с сохранением настроенных параметров</a:t>
          </a:r>
        </a:p>
      </xdr:txBody>
    </xdr:sp>
    <xdr:clientData/>
  </xdr:twoCellAnchor>
  <xdr:twoCellAnchor>
    <xdr:from>
      <xdr:col>5</xdr:col>
      <xdr:colOff>582980</xdr:colOff>
      <xdr:row>58</xdr:row>
      <xdr:rowOff>156936</xdr:rowOff>
    </xdr:from>
    <xdr:to>
      <xdr:col>6</xdr:col>
      <xdr:colOff>583349</xdr:colOff>
      <xdr:row>69</xdr:row>
      <xdr:rowOff>79886</xdr:rowOff>
    </xdr:to>
    <xdr:sp macro="" textlink="">
      <xdr:nvSpPr>
        <xdr:cNvPr id="98" name="Левая фигурная скобка 97">
          <a:extLst>
            <a:ext uri="{FF2B5EF4-FFF2-40B4-BE49-F238E27FC236}">
              <a16:creationId xmlns:a16="http://schemas.microsoft.com/office/drawing/2014/main" xmlns="" id="{00000000-0008-0000-0D00-000062000000}"/>
            </a:ext>
          </a:extLst>
        </xdr:cNvPr>
        <xdr:cNvSpPr/>
      </xdr:nvSpPr>
      <xdr:spPr>
        <a:xfrm rot="10800000">
          <a:off x="3630980" y="11205936"/>
          <a:ext cx="609969" cy="2018450"/>
        </a:xfrm>
        <a:prstGeom prst="leftBrace">
          <a:avLst>
            <a:gd name="adj1" fmla="val 65476"/>
            <a:gd name="adj2" fmla="val 50000"/>
          </a:avLst>
        </a:prstGeom>
        <a:noFill/>
        <a:ln w="76200">
          <a:solidFill>
            <a:srgbClr val="CBDCEB"/>
          </a:solidFill>
        </a:ln>
      </xdr:spPr>
      <xdr:style>
        <a:lnRef idx="1">
          <a:schemeClr val="accent1"/>
        </a:lnRef>
        <a:fillRef idx="0">
          <a:schemeClr val="accent1"/>
        </a:fillRef>
        <a:effectRef idx="0">
          <a:schemeClr val="accent1"/>
        </a:effectRef>
        <a:fontRef idx="minor">
          <a:schemeClr val="tx1"/>
        </a:fontRef>
      </xdr:style>
      <xdr:txBody>
        <a:bodyPr wrap="square" rtlCol="0" anchor="ctr"/>
        <a:lstStyle>
          <a:defPPr>
            <a:defRPr lang="ru-RU"/>
          </a:defPPr>
          <a:lvl1pPr marL="0" algn="l" defTabSz="1727699" rtl="0" eaLnBrk="1" latinLnBrk="0" hangingPunct="1">
            <a:defRPr sz="3400" kern="1200">
              <a:solidFill>
                <a:schemeClr val="tx1"/>
              </a:solidFill>
              <a:latin typeface="+mn-lt"/>
              <a:ea typeface="+mn-ea"/>
              <a:cs typeface="+mn-cs"/>
            </a:defRPr>
          </a:lvl1pPr>
          <a:lvl2pPr marL="863849" algn="l" defTabSz="1727699" rtl="0" eaLnBrk="1" latinLnBrk="0" hangingPunct="1">
            <a:defRPr sz="3400" kern="1200">
              <a:solidFill>
                <a:schemeClr val="tx1"/>
              </a:solidFill>
              <a:latin typeface="+mn-lt"/>
              <a:ea typeface="+mn-ea"/>
              <a:cs typeface="+mn-cs"/>
            </a:defRPr>
          </a:lvl2pPr>
          <a:lvl3pPr marL="1727699" algn="l" defTabSz="1727699" rtl="0" eaLnBrk="1" latinLnBrk="0" hangingPunct="1">
            <a:defRPr sz="3400" kern="1200">
              <a:solidFill>
                <a:schemeClr val="tx1"/>
              </a:solidFill>
              <a:latin typeface="+mn-lt"/>
              <a:ea typeface="+mn-ea"/>
              <a:cs typeface="+mn-cs"/>
            </a:defRPr>
          </a:lvl3pPr>
          <a:lvl4pPr marL="2591548" algn="l" defTabSz="1727699" rtl="0" eaLnBrk="1" latinLnBrk="0" hangingPunct="1">
            <a:defRPr sz="3400" kern="1200">
              <a:solidFill>
                <a:schemeClr val="tx1"/>
              </a:solidFill>
              <a:latin typeface="+mn-lt"/>
              <a:ea typeface="+mn-ea"/>
              <a:cs typeface="+mn-cs"/>
            </a:defRPr>
          </a:lvl4pPr>
          <a:lvl5pPr marL="3455397" algn="l" defTabSz="1727699" rtl="0" eaLnBrk="1" latinLnBrk="0" hangingPunct="1">
            <a:defRPr sz="3400" kern="1200">
              <a:solidFill>
                <a:schemeClr val="tx1"/>
              </a:solidFill>
              <a:latin typeface="+mn-lt"/>
              <a:ea typeface="+mn-ea"/>
              <a:cs typeface="+mn-cs"/>
            </a:defRPr>
          </a:lvl5pPr>
          <a:lvl6pPr marL="4319249" algn="l" defTabSz="1727699" rtl="0" eaLnBrk="1" latinLnBrk="0" hangingPunct="1">
            <a:defRPr sz="3400" kern="1200">
              <a:solidFill>
                <a:schemeClr val="tx1"/>
              </a:solidFill>
              <a:latin typeface="+mn-lt"/>
              <a:ea typeface="+mn-ea"/>
              <a:cs typeface="+mn-cs"/>
            </a:defRPr>
          </a:lvl6pPr>
          <a:lvl7pPr marL="5183098" algn="l" defTabSz="1727699" rtl="0" eaLnBrk="1" latinLnBrk="0" hangingPunct="1">
            <a:defRPr sz="3400" kern="1200">
              <a:solidFill>
                <a:schemeClr val="tx1"/>
              </a:solidFill>
              <a:latin typeface="+mn-lt"/>
              <a:ea typeface="+mn-ea"/>
              <a:cs typeface="+mn-cs"/>
            </a:defRPr>
          </a:lvl7pPr>
          <a:lvl8pPr marL="6046950" algn="l" defTabSz="1727699" rtl="0" eaLnBrk="1" latinLnBrk="0" hangingPunct="1">
            <a:defRPr sz="3400" kern="1200">
              <a:solidFill>
                <a:schemeClr val="tx1"/>
              </a:solidFill>
              <a:latin typeface="+mn-lt"/>
              <a:ea typeface="+mn-ea"/>
              <a:cs typeface="+mn-cs"/>
            </a:defRPr>
          </a:lvl8pPr>
          <a:lvl9pPr marL="6910799" algn="l" defTabSz="1727699" rtl="0" eaLnBrk="1" latinLnBrk="0" hangingPunct="1">
            <a:defRPr sz="3400" kern="1200">
              <a:solidFill>
                <a:schemeClr val="tx1"/>
              </a:solidFill>
              <a:latin typeface="+mn-lt"/>
              <a:ea typeface="+mn-ea"/>
              <a:cs typeface="+mn-cs"/>
            </a:defRPr>
          </a:lvl9pPr>
        </a:lstStyle>
        <a:p>
          <a:pPr algn="ctr"/>
          <a:endParaRPr lang="ru-RU" sz="4518"/>
        </a:p>
      </xdr:txBody>
    </xdr:sp>
    <xdr:clientData/>
  </xdr:twoCellAnchor>
  <xdr:twoCellAnchor>
    <xdr:from>
      <xdr:col>7</xdr:col>
      <xdr:colOff>200577</xdr:colOff>
      <xdr:row>60</xdr:row>
      <xdr:rowOff>49851</xdr:rowOff>
    </xdr:from>
    <xdr:to>
      <xdr:col>14</xdr:col>
      <xdr:colOff>36635</xdr:colOff>
      <xdr:row>70</xdr:row>
      <xdr:rowOff>170057</xdr:rowOff>
    </xdr:to>
    <xdr:sp macro="" textlink="">
      <xdr:nvSpPr>
        <xdr:cNvPr id="99" name="Прямоугольник 98">
          <a:extLst>
            <a:ext uri="{FF2B5EF4-FFF2-40B4-BE49-F238E27FC236}">
              <a16:creationId xmlns:a16="http://schemas.microsoft.com/office/drawing/2014/main" xmlns="" id="{00000000-0008-0000-0D00-000063000000}"/>
            </a:ext>
          </a:extLst>
        </xdr:cNvPr>
        <xdr:cNvSpPr/>
      </xdr:nvSpPr>
      <xdr:spPr>
        <a:xfrm>
          <a:off x="4467777" y="11479851"/>
          <a:ext cx="4103258" cy="2025206"/>
        </a:xfrm>
        <a:prstGeom prst="rect">
          <a:avLst/>
        </a:prstGeom>
      </xdr:spPr>
      <xdr:txBody>
        <a:bodyPr wrap="square">
          <a:noAutofit/>
        </a:bodyPr>
        <a:lstStyle>
          <a:defPPr>
            <a:defRPr lang="ru-RU"/>
          </a:defPPr>
          <a:lvl1pPr marL="0" algn="l" defTabSz="1727699" rtl="0" eaLnBrk="1" latinLnBrk="0" hangingPunct="1">
            <a:defRPr sz="3400" kern="1200">
              <a:solidFill>
                <a:schemeClr val="tx1"/>
              </a:solidFill>
              <a:latin typeface="+mn-lt"/>
              <a:ea typeface="+mn-ea"/>
              <a:cs typeface="+mn-cs"/>
            </a:defRPr>
          </a:lvl1pPr>
          <a:lvl2pPr marL="863849" algn="l" defTabSz="1727699" rtl="0" eaLnBrk="1" latinLnBrk="0" hangingPunct="1">
            <a:defRPr sz="3400" kern="1200">
              <a:solidFill>
                <a:schemeClr val="tx1"/>
              </a:solidFill>
              <a:latin typeface="+mn-lt"/>
              <a:ea typeface="+mn-ea"/>
              <a:cs typeface="+mn-cs"/>
            </a:defRPr>
          </a:lvl2pPr>
          <a:lvl3pPr marL="1727699" algn="l" defTabSz="1727699" rtl="0" eaLnBrk="1" latinLnBrk="0" hangingPunct="1">
            <a:defRPr sz="3400" kern="1200">
              <a:solidFill>
                <a:schemeClr val="tx1"/>
              </a:solidFill>
              <a:latin typeface="+mn-lt"/>
              <a:ea typeface="+mn-ea"/>
              <a:cs typeface="+mn-cs"/>
            </a:defRPr>
          </a:lvl3pPr>
          <a:lvl4pPr marL="2591548" algn="l" defTabSz="1727699" rtl="0" eaLnBrk="1" latinLnBrk="0" hangingPunct="1">
            <a:defRPr sz="3400" kern="1200">
              <a:solidFill>
                <a:schemeClr val="tx1"/>
              </a:solidFill>
              <a:latin typeface="+mn-lt"/>
              <a:ea typeface="+mn-ea"/>
              <a:cs typeface="+mn-cs"/>
            </a:defRPr>
          </a:lvl4pPr>
          <a:lvl5pPr marL="3455397" algn="l" defTabSz="1727699" rtl="0" eaLnBrk="1" latinLnBrk="0" hangingPunct="1">
            <a:defRPr sz="3400" kern="1200">
              <a:solidFill>
                <a:schemeClr val="tx1"/>
              </a:solidFill>
              <a:latin typeface="+mn-lt"/>
              <a:ea typeface="+mn-ea"/>
              <a:cs typeface="+mn-cs"/>
            </a:defRPr>
          </a:lvl5pPr>
          <a:lvl6pPr marL="4319249" algn="l" defTabSz="1727699" rtl="0" eaLnBrk="1" latinLnBrk="0" hangingPunct="1">
            <a:defRPr sz="3400" kern="1200">
              <a:solidFill>
                <a:schemeClr val="tx1"/>
              </a:solidFill>
              <a:latin typeface="+mn-lt"/>
              <a:ea typeface="+mn-ea"/>
              <a:cs typeface="+mn-cs"/>
            </a:defRPr>
          </a:lvl6pPr>
          <a:lvl7pPr marL="5183098" algn="l" defTabSz="1727699" rtl="0" eaLnBrk="1" latinLnBrk="0" hangingPunct="1">
            <a:defRPr sz="3400" kern="1200">
              <a:solidFill>
                <a:schemeClr val="tx1"/>
              </a:solidFill>
              <a:latin typeface="+mn-lt"/>
              <a:ea typeface="+mn-ea"/>
              <a:cs typeface="+mn-cs"/>
            </a:defRPr>
          </a:lvl7pPr>
          <a:lvl8pPr marL="6046950" algn="l" defTabSz="1727699" rtl="0" eaLnBrk="1" latinLnBrk="0" hangingPunct="1">
            <a:defRPr sz="3400" kern="1200">
              <a:solidFill>
                <a:schemeClr val="tx1"/>
              </a:solidFill>
              <a:latin typeface="+mn-lt"/>
              <a:ea typeface="+mn-ea"/>
              <a:cs typeface="+mn-cs"/>
            </a:defRPr>
          </a:lvl8pPr>
          <a:lvl9pPr marL="6910799" algn="l" defTabSz="1727699" rtl="0" eaLnBrk="1" latinLnBrk="0" hangingPunct="1">
            <a:defRPr sz="3400" kern="1200">
              <a:solidFill>
                <a:schemeClr val="tx1"/>
              </a:solidFill>
              <a:latin typeface="+mn-lt"/>
              <a:ea typeface="+mn-ea"/>
              <a:cs typeface="+mn-cs"/>
            </a:defRPr>
          </a:lvl9pPr>
        </a:lstStyle>
        <a:p>
          <a:pPr marL="285750" indent="-285750">
            <a:spcAft>
              <a:spcPts val="1200"/>
            </a:spcAft>
            <a:buFont typeface="Arial" panose="020B0604020202020204" pitchFamily="34" charset="0"/>
            <a:buChar char="•"/>
          </a:pPr>
          <a:r>
            <a:rPr lang="ru-RU" sz="1400" b="1" kern="1200">
              <a:solidFill>
                <a:schemeClr val="dk1"/>
              </a:solidFill>
              <a:effectLst/>
              <a:latin typeface="+mn-lt"/>
              <a:ea typeface="+mn-ea"/>
              <a:cs typeface="+mn-cs"/>
            </a:rPr>
            <a:t>Защита серверов и сервисов корпоративной сети</a:t>
          </a:r>
        </a:p>
        <a:p>
          <a:pPr marL="285750" indent="-285750">
            <a:spcAft>
              <a:spcPts val="1200"/>
            </a:spcAft>
            <a:buFont typeface="Arial" panose="020B0604020202020204" pitchFamily="34" charset="0"/>
            <a:buChar char="•"/>
          </a:pPr>
          <a:r>
            <a:rPr lang="ru-RU" sz="1400" b="1" kern="1200">
              <a:solidFill>
                <a:schemeClr val="dk1"/>
              </a:solidFill>
              <a:effectLst/>
              <a:latin typeface="+mn-lt"/>
              <a:ea typeface="+mn-ea"/>
              <a:cs typeface="+mn-cs"/>
            </a:rPr>
            <a:t>Защита веб-приложения от нелегитимных запросов «из коробки»</a:t>
          </a:r>
        </a:p>
        <a:p>
          <a:pPr marL="285750" indent="-285750" algn="l" defTabSz="1727699" rtl="0" eaLnBrk="1" latinLnBrk="0" hangingPunct="1">
            <a:spcAft>
              <a:spcPts val="1200"/>
            </a:spcAft>
            <a:buFont typeface="Arial" panose="020B0604020202020204" pitchFamily="34" charset="0"/>
            <a:buChar char="•"/>
          </a:pPr>
          <a:r>
            <a:rPr lang="ru-RU" sz="1400" b="1" kern="1200">
              <a:solidFill>
                <a:schemeClr val="dk1"/>
              </a:solidFill>
              <a:effectLst/>
              <a:latin typeface="+mn-lt"/>
              <a:ea typeface="+mn-ea"/>
              <a:cs typeface="+mn-cs"/>
            </a:rPr>
            <a:t>Поддержка работы с любыми гипервизорами в виртуальной инфраструктуре </a:t>
          </a:r>
        </a:p>
        <a:p>
          <a:pPr>
            <a:spcAft>
              <a:spcPts val="2400"/>
            </a:spcAft>
          </a:pPr>
          <a:endParaRPr lang="ru-RU" sz="4000">
            <a:solidFill>
              <a:srgbClr val="08376D"/>
            </a:solidFill>
            <a:latin typeface="Segoe UI" panose="020B0502040204020203" pitchFamily="34" charset="0"/>
            <a:cs typeface="Segoe UI" panose="020B0502040204020203" pitchFamily="34" charset="0"/>
          </a:endParaRPr>
        </a:p>
      </xdr:txBody>
    </xdr:sp>
    <xdr:clientData/>
  </xdr:twoCellAnchor>
  <xdr:oneCellAnchor>
    <xdr:from>
      <xdr:col>1</xdr:col>
      <xdr:colOff>2008593</xdr:colOff>
      <xdr:row>1</xdr:row>
      <xdr:rowOff>652130</xdr:rowOff>
    </xdr:from>
    <xdr:ext cx="1230435" cy="498737"/>
    <xdr:pic>
      <xdr:nvPicPr>
        <xdr:cNvPr id="100" name="Рисунок 99">
          <a:extLst>
            <a:ext uri="{FF2B5EF4-FFF2-40B4-BE49-F238E27FC236}">
              <a16:creationId xmlns:a16="http://schemas.microsoft.com/office/drawing/2014/main" xmlns="" id="{00000000-0008-0000-0D00-000064000000}"/>
            </a:ext>
          </a:extLst>
        </xdr:cNvPr>
        <xdr:cNvPicPr>
          <a:picLocks noChangeAspect="1"/>
        </xdr:cNvPicPr>
      </xdr:nvPicPr>
      <xdr:blipFill>
        <a:blip xmlns:r="http://schemas.openxmlformats.org/officeDocument/2006/relationships" r:embed="rId53"/>
        <a:stretch>
          <a:fillRect/>
        </a:stretch>
      </xdr:blipFill>
      <xdr:spPr>
        <a:xfrm>
          <a:off x="1218018" y="385430"/>
          <a:ext cx="1230435" cy="498737"/>
        </a:xfrm>
        <a:prstGeom prst="rect">
          <a:avLst/>
        </a:prstGeom>
      </xdr:spPr>
    </xdr:pic>
    <xdr:clientData/>
  </xdr:oneCellAnchor>
  <xdr:twoCellAnchor editAs="oneCell">
    <xdr:from>
      <xdr:col>7</xdr:col>
      <xdr:colOff>195944</xdr:colOff>
      <xdr:row>1</xdr:row>
      <xdr:rowOff>751114</xdr:rowOff>
    </xdr:from>
    <xdr:to>
      <xdr:col>9</xdr:col>
      <xdr:colOff>250372</xdr:colOff>
      <xdr:row>1</xdr:row>
      <xdr:rowOff>1143500</xdr:rowOff>
    </xdr:to>
    <xdr:pic>
      <xdr:nvPicPr>
        <xdr:cNvPr id="101" name="Рисунок 100">
          <a:extLst>
            <a:ext uri="{FF2B5EF4-FFF2-40B4-BE49-F238E27FC236}">
              <a16:creationId xmlns:a16="http://schemas.microsoft.com/office/drawing/2014/main" xmlns="" id="{00000000-0008-0000-0D00-000065000000}"/>
            </a:ext>
          </a:extLst>
        </xdr:cNvPr>
        <xdr:cNvPicPr>
          <a:picLocks noChangeAspect="1"/>
        </xdr:cNvPicPr>
      </xdr:nvPicPr>
      <xdr:blipFill>
        <a:blip xmlns:r="http://schemas.openxmlformats.org/officeDocument/2006/relationships" r:embed="rId54" cstate="print">
          <a:extLst>
            <a:ext uri="{28A0092B-C50C-407E-A947-70E740481C1C}">
              <a14:useLocalDpi xmlns:a14="http://schemas.microsoft.com/office/drawing/2010/main" val="0"/>
            </a:ext>
          </a:extLst>
        </a:blip>
        <a:stretch>
          <a:fillRect/>
        </a:stretch>
      </xdr:blipFill>
      <xdr:spPr>
        <a:xfrm>
          <a:off x="5791201" y="1262743"/>
          <a:ext cx="1295400" cy="392386"/>
        </a:xfrm>
        <a:prstGeom prst="rect">
          <a:avLst/>
        </a:prstGeom>
        <a:solidFill>
          <a:srgbClr val="FF0000"/>
        </a:solidFill>
      </xdr:spPr>
    </xdr:pic>
    <xdr:clientData/>
  </xdr:twoCellAnchor>
  <xdr:oneCellAnchor>
    <xdr:from>
      <xdr:col>10</xdr:col>
      <xdr:colOff>27578</xdr:colOff>
      <xdr:row>6</xdr:row>
      <xdr:rowOff>2936297</xdr:rowOff>
    </xdr:from>
    <xdr:ext cx="1597308" cy="1588579"/>
    <xdr:pic>
      <xdr:nvPicPr>
        <xdr:cNvPr id="102" name="Рисунок 101">
          <a:extLst>
            <a:ext uri="{FF2B5EF4-FFF2-40B4-BE49-F238E27FC236}">
              <a16:creationId xmlns:a16="http://schemas.microsoft.com/office/drawing/2014/main" xmlns="" id="{00000000-0008-0000-0D00-000066000000}"/>
            </a:ext>
          </a:extLst>
        </xdr:cNvPr>
        <xdr:cNvPicPr>
          <a:picLocks noChangeAspect="1"/>
        </xdr:cNvPicPr>
      </xdr:nvPicPr>
      <xdr:blipFill>
        <a:blip xmlns:r="http://schemas.openxmlformats.org/officeDocument/2006/relationships" r:embed="rId55" cstate="print">
          <a:extLst>
            <a:ext uri="{28A0092B-C50C-407E-A947-70E740481C1C}">
              <a14:useLocalDpi xmlns:a14="http://schemas.microsoft.com/office/drawing/2010/main" val="0"/>
            </a:ext>
          </a:extLst>
        </a:blip>
        <a:stretch>
          <a:fillRect/>
        </a:stretch>
      </xdr:blipFill>
      <xdr:spPr>
        <a:xfrm>
          <a:off x="7537511" y="9125430"/>
          <a:ext cx="1597308" cy="1588579"/>
        </a:xfrm>
        <a:prstGeom prst="rect">
          <a:avLst/>
        </a:prstGeom>
      </xdr:spPr>
    </xdr:pic>
    <xdr:clientData/>
  </xdr:oneCellAnchor>
  <xdr:twoCellAnchor>
    <xdr:from>
      <xdr:col>10</xdr:col>
      <xdr:colOff>373729</xdr:colOff>
      <xdr:row>6</xdr:row>
      <xdr:rowOff>820209</xdr:rowOff>
    </xdr:from>
    <xdr:to>
      <xdr:col>15</xdr:col>
      <xdr:colOff>578733</xdr:colOff>
      <xdr:row>6</xdr:row>
      <xdr:rowOff>2633134</xdr:rowOff>
    </xdr:to>
    <xdr:sp macro="" textlink="">
      <xdr:nvSpPr>
        <xdr:cNvPr id="104" name="TextBox 103">
          <a:extLst>
            <a:ext uri="{FF2B5EF4-FFF2-40B4-BE49-F238E27FC236}">
              <a16:creationId xmlns:a16="http://schemas.microsoft.com/office/drawing/2014/main" xmlns="" id="{00000000-0008-0000-0D00-000068000000}"/>
            </a:ext>
          </a:extLst>
        </xdr:cNvPr>
        <xdr:cNvSpPr txBox="1"/>
      </xdr:nvSpPr>
      <xdr:spPr>
        <a:xfrm>
          <a:off x="7883662" y="7009342"/>
          <a:ext cx="3337671" cy="18129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ru-RU" sz="1100" b="1">
              <a:solidFill>
                <a:sysClr val="windowText" lastClr="000000"/>
              </a:solidFill>
              <a:effectLst/>
              <a:latin typeface="+mn-lt"/>
              <a:ea typeface="+mn-ea"/>
              <a:cs typeface="+mn-cs"/>
            </a:rPr>
            <a:t>Решение уровня платы расширения</a:t>
          </a:r>
          <a:r>
            <a:rPr lang="en-US" sz="1100" b="1">
              <a:solidFill>
                <a:sysClr val="windowText" lastClr="000000"/>
              </a:solidFill>
              <a:effectLst/>
              <a:latin typeface="+mn-lt"/>
              <a:ea typeface="+mn-ea"/>
              <a:cs typeface="+mn-cs"/>
            </a:rPr>
            <a:t> </a:t>
          </a:r>
          <a:r>
            <a:rPr lang="ru-RU" sz="1100" b="1">
              <a:solidFill>
                <a:sysClr val="windowText" lastClr="000000"/>
              </a:solidFill>
              <a:effectLst/>
              <a:latin typeface="+mn-lt"/>
              <a:ea typeface="+mn-ea"/>
              <a:cs typeface="+mn-cs"/>
            </a:rPr>
            <a:t>(</a:t>
          </a:r>
          <a:r>
            <a:rPr lang="ru-RU" sz="1100" b="0" i="0">
              <a:solidFill>
                <a:sysClr val="windowText" lastClr="000000"/>
              </a:solidFill>
              <a:effectLst/>
              <a:latin typeface="+mn-lt"/>
              <a:ea typeface="+mn-ea"/>
              <a:cs typeface="+mn-cs"/>
            </a:rPr>
            <a:t>ИТ.СДЗ.ПР2.ПЗ</a:t>
          </a:r>
          <a:r>
            <a:rPr lang="ru-RU" sz="1100" b="1">
              <a:solidFill>
                <a:sysClr val="windowText" lastClr="000000"/>
              </a:solidFill>
              <a:effectLst/>
              <a:latin typeface="+mn-lt"/>
              <a:ea typeface="+mn-ea"/>
              <a:cs typeface="+mn-cs"/>
            </a:rPr>
            <a:t>)</a:t>
          </a:r>
        </a:p>
        <a:p>
          <a:pPr marL="0" marR="0" lvl="0" indent="0" defTabSz="914400" rtl="0" eaLnBrk="1" fontAlgn="auto" latinLnBrk="0" hangingPunct="1">
            <a:lnSpc>
              <a:spcPct val="100000"/>
            </a:lnSpc>
            <a:spcBef>
              <a:spcPts val="0"/>
            </a:spcBef>
            <a:spcAft>
              <a:spcPts val="0"/>
            </a:spcAft>
            <a:buClrTx/>
            <a:buSzTx/>
            <a:buFontTx/>
            <a:buNone/>
            <a:tabLst/>
            <a:defRPr/>
          </a:pPr>
          <a:r>
            <a:rPr lang="ru-RU" sz="1100" b="0">
              <a:solidFill>
                <a:sysClr val="windowText" lastClr="000000"/>
              </a:solidFill>
              <a:effectLst/>
              <a:latin typeface="+mn-lt"/>
              <a:ea typeface="+mn-ea"/>
              <a:cs typeface="+mn-cs"/>
            </a:rPr>
            <a:t>имеет 2</a:t>
          </a:r>
          <a:r>
            <a:rPr lang="ru-RU" sz="1100" b="0" baseline="0">
              <a:solidFill>
                <a:sysClr val="windowText" lastClr="000000"/>
              </a:solidFill>
              <a:effectLst/>
              <a:latin typeface="+mn-lt"/>
              <a:ea typeface="+mn-ea"/>
              <a:cs typeface="+mn-cs"/>
            </a:rPr>
            <a:t> форм-фактора для интеграции в различные модели АРМ</a:t>
          </a:r>
          <a:endParaRPr lang="ru-RU" b="0">
            <a:solidFill>
              <a:sysClr val="windowText" lastClr="000000"/>
            </a:solidFill>
            <a:effectLst/>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1" i="0">
              <a:solidFill>
                <a:sysClr val="windowText" lastClr="000000"/>
              </a:solidFill>
              <a:effectLst/>
              <a:latin typeface="+mn-lt"/>
              <a:ea typeface="+mn-ea"/>
              <a:cs typeface="+mn-cs"/>
            </a:rPr>
            <a:t>USB type A</a:t>
          </a:r>
          <a:r>
            <a:rPr lang="ru-RU" sz="1100" b="0" i="0">
              <a:solidFill>
                <a:sysClr val="windowText" lastClr="000000"/>
              </a:solidFill>
              <a:effectLst/>
              <a:latin typeface="+mn-lt"/>
              <a:ea typeface="+mn-ea"/>
              <a:cs typeface="+mn-cs"/>
            </a:rPr>
            <a:t> (для </a:t>
          </a:r>
          <a:r>
            <a:rPr lang="ru-RU" sz="1100" b="0" i="0" baseline="0">
              <a:solidFill>
                <a:sysClr val="windowText" lastClr="000000"/>
              </a:solidFill>
              <a:effectLst/>
              <a:latin typeface="+mn-lt"/>
              <a:ea typeface="+mn-ea"/>
              <a:cs typeface="+mn-cs"/>
            </a:rPr>
            <a:t>внешних </a:t>
          </a:r>
          <a:r>
            <a:rPr lang="en-US" sz="1100" b="0" i="0">
              <a:solidFill>
                <a:sysClr val="windowText" lastClr="000000"/>
              </a:solidFill>
              <a:effectLst/>
              <a:latin typeface="+mn-lt"/>
              <a:ea typeface="+mn-ea"/>
              <a:cs typeface="+mn-cs"/>
            </a:rPr>
            <a:t>USB</a:t>
          </a:r>
          <a:r>
            <a:rPr lang="ru-RU" sz="1100" b="0" i="0">
              <a:solidFill>
                <a:sysClr val="windowText" lastClr="000000"/>
              </a:solidFill>
              <a:effectLst/>
              <a:latin typeface="+mn-lt"/>
              <a:ea typeface="+mn-ea"/>
              <a:cs typeface="+mn-cs"/>
            </a:rPr>
            <a:t>-портов)</a:t>
          </a:r>
        </a:p>
        <a:p>
          <a:pPr marL="171450" marR="0" lvl="0" indent="-171450" defTabSz="914400" eaLnBrk="1" fontAlgn="b" latinLnBrk="0" hangingPunct="1">
            <a:lnSpc>
              <a:spcPct val="100000"/>
            </a:lnSpc>
            <a:spcBef>
              <a:spcPts val="0"/>
            </a:spcBef>
            <a:spcAft>
              <a:spcPts val="0"/>
            </a:spcAft>
            <a:buClrTx/>
            <a:buSzTx/>
            <a:buFont typeface="Arial" panose="020B0604020202020204" pitchFamily="34" charset="0"/>
            <a:buChar char="•"/>
            <a:tabLst/>
            <a:defRPr/>
          </a:pPr>
          <a:r>
            <a:rPr lang="en-US" sz="1100" b="1" i="0">
              <a:solidFill>
                <a:sysClr val="windowText" lastClr="000000"/>
              </a:solidFill>
              <a:effectLst/>
              <a:latin typeface="+mn-lt"/>
              <a:ea typeface="+mn-ea"/>
              <a:cs typeface="+mn-cs"/>
            </a:rPr>
            <a:t>PLS</a:t>
          </a:r>
          <a:r>
            <a:rPr lang="en-US" sz="1100" b="0" i="0">
              <a:solidFill>
                <a:sysClr val="windowText" lastClr="000000"/>
              </a:solidFill>
              <a:effectLst/>
              <a:latin typeface="+mn-lt"/>
              <a:ea typeface="+mn-ea"/>
              <a:cs typeface="+mn-cs"/>
            </a:rPr>
            <a:t> (</a:t>
          </a:r>
          <a:r>
            <a:rPr lang="ru-RU" sz="1100" b="0" i="0">
              <a:solidFill>
                <a:sysClr val="windowText" lastClr="000000"/>
              </a:solidFill>
              <a:effectLst/>
              <a:latin typeface="+mn-lt"/>
              <a:ea typeface="+mn-ea"/>
              <a:cs typeface="+mn-cs"/>
            </a:rPr>
            <a:t>для установки в</a:t>
          </a:r>
          <a:r>
            <a:rPr lang="ru-RU" sz="1100" b="0" i="0" baseline="0">
              <a:solidFill>
                <a:sysClr val="windowText" lastClr="000000"/>
              </a:solidFill>
              <a:effectLst/>
              <a:latin typeface="+mn-lt"/>
              <a:ea typeface="+mn-ea"/>
              <a:cs typeface="+mn-cs"/>
            </a:rPr>
            <a:t> </a:t>
          </a:r>
          <a:r>
            <a:rPr lang="en-US" sz="1100" b="0" i="0" baseline="0">
              <a:solidFill>
                <a:sysClr val="windowText" lastClr="000000"/>
              </a:solidFill>
              <a:effectLst/>
              <a:latin typeface="+mn-lt"/>
              <a:ea typeface="+mn-ea"/>
              <a:cs typeface="+mn-cs"/>
            </a:rPr>
            <a:t>USB 2.0 header</a:t>
          </a:r>
          <a:r>
            <a:rPr lang="ru-RU" sz="1100" b="0" i="0" baseline="0">
              <a:solidFill>
                <a:sysClr val="windowText" lastClr="000000"/>
              </a:solidFill>
              <a:effectLst/>
              <a:latin typeface="+mn-lt"/>
              <a:ea typeface="+mn-ea"/>
              <a:cs typeface="+mn-cs"/>
            </a:rPr>
            <a:t> материнских плат</a:t>
          </a:r>
          <a:r>
            <a:rPr lang="en-US" sz="1100" b="0" i="0">
              <a:solidFill>
                <a:sysClr val="windowText" lastClr="000000"/>
              </a:solidFill>
              <a:effectLst/>
              <a:latin typeface="+mn-lt"/>
              <a:ea typeface="+mn-ea"/>
              <a:cs typeface="+mn-cs"/>
            </a:rPr>
            <a:t>)</a:t>
          </a:r>
          <a:endParaRPr lang="ru-RU" sz="1100">
            <a:solidFill>
              <a:sysClr val="windowText" lastClr="000000"/>
            </a:solidFill>
            <a:effectLst/>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sz="1100" b="1" i="0">
            <a:solidFill>
              <a:sysClr val="windowText" lastClr="000000"/>
            </a:solidFill>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ru-RU" sz="1100" b="1" i="0">
              <a:solidFill>
                <a:sysClr val="windowText" lastClr="000000"/>
              </a:solidFill>
              <a:effectLst/>
              <a:latin typeface="+mn-lt"/>
              <a:ea typeface="+mn-ea"/>
              <a:cs typeface="+mn-cs"/>
            </a:rPr>
            <a:t>В настоящее время проводится процедура</a:t>
          </a:r>
          <a:r>
            <a:rPr lang="ru-RU" sz="1100" b="1" i="0" baseline="0">
              <a:solidFill>
                <a:sysClr val="windowText" lastClr="000000"/>
              </a:solidFill>
              <a:effectLst/>
              <a:latin typeface="+mn-lt"/>
              <a:ea typeface="+mn-ea"/>
              <a:cs typeface="+mn-cs"/>
            </a:rPr>
            <a:t> сертификации ФСТЭК </a:t>
          </a:r>
          <a:r>
            <a:rPr lang="ru-RU" sz="1100" b="1" i="0">
              <a:solidFill>
                <a:schemeClr val="dk1"/>
              </a:solidFill>
              <a:effectLst/>
              <a:latin typeface="+mn-lt"/>
              <a:ea typeface="+mn-ea"/>
              <a:cs typeface="+mn-cs"/>
            </a:rPr>
            <a:t>России</a:t>
          </a:r>
          <a:r>
            <a:rPr lang="ru-RU" sz="1100" b="1" i="0" baseline="0">
              <a:solidFill>
                <a:sysClr val="windowText" lastClr="000000"/>
              </a:solidFill>
              <a:effectLst/>
              <a:latin typeface="+mn-lt"/>
              <a:ea typeface="+mn-ea"/>
              <a:cs typeface="+mn-cs"/>
            </a:rPr>
            <a:t>, МО</a:t>
          </a:r>
          <a:r>
            <a:rPr lang="en-US" sz="1100" b="1" i="0" baseline="0">
              <a:solidFill>
                <a:sysClr val="windowText" lastClr="000000"/>
              </a:solidFill>
              <a:effectLst/>
              <a:latin typeface="+mn-lt"/>
              <a:ea typeface="+mn-ea"/>
              <a:cs typeface="+mn-cs"/>
            </a:rPr>
            <a:t> </a:t>
          </a:r>
          <a:r>
            <a:rPr lang="ru-RU" sz="1100" b="1" i="0" baseline="0">
              <a:solidFill>
                <a:sysClr val="windowText" lastClr="000000"/>
              </a:solidFill>
              <a:effectLst/>
              <a:latin typeface="+mn-lt"/>
              <a:ea typeface="+mn-ea"/>
              <a:cs typeface="+mn-cs"/>
            </a:rPr>
            <a:t>России</a:t>
          </a:r>
          <a:endParaRPr lang="ru-RU">
            <a:solidFill>
              <a:sysClr val="windowText" lastClr="000000"/>
            </a:solidFill>
            <a:effectLst/>
          </a:endParaRPr>
        </a:p>
      </xdr:txBody>
    </xdr:sp>
    <xdr:clientData/>
  </xdr:twoCellAnchor>
  <xdr:twoCellAnchor editAs="oneCell">
    <xdr:from>
      <xdr:col>7</xdr:col>
      <xdr:colOff>49005</xdr:colOff>
      <xdr:row>6</xdr:row>
      <xdr:rowOff>1616046</xdr:rowOff>
    </xdr:from>
    <xdr:to>
      <xdr:col>10</xdr:col>
      <xdr:colOff>251666</xdr:colOff>
      <xdr:row>6</xdr:row>
      <xdr:rowOff>2263750</xdr:rowOff>
    </xdr:to>
    <xdr:pic>
      <xdr:nvPicPr>
        <xdr:cNvPr id="106" name="Рисунок 105">
          <a:extLst>
            <a:ext uri="{FF2B5EF4-FFF2-40B4-BE49-F238E27FC236}">
              <a16:creationId xmlns:a16="http://schemas.microsoft.com/office/drawing/2014/main" xmlns="" id="{00000000-0008-0000-0D00-00006A000000}"/>
            </a:ext>
          </a:extLst>
        </xdr:cNvPr>
        <xdr:cNvPicPr>
          <a:picLocks noChangeAspect="1"/>
        </xdr:cNvPicPr>
      </xdr:nvPicPr>
      <xdr:blipFill>
        <a:blip xmlns:r="http://schemas.openxmlformats.org/officeDocument/2006/relationships" r:embed="rId56" cstate="print">
          <a:extLst>
            <a:ext uri="{28A0092B-C50C-407E-A947-70E740481C1C}">
              <a14:useLocalDpi xmlns:a14="http://schemas.microsoft.com/office/drawing/2010/main" val="0"/>
            </a:ext>
          </a:extLst>
        </a:blip>
        <a:stretch>
          <a:fillRect/>
        </a:stretch>
      </xdr:blipFill>
      <xdr:spPr>
        <a:xfrm>
          <a:off x="5679338" y="7805179"/>
          <a:ext cx="2082261" cy="647704"/>
        </a:xfrm>
        <a:prstGeom prst="rect">
          <a:avLst/>
        </a:prstGeom>
      </xdr:spPr>
    </xdr:pic>
    <xdr:clientData/>
  </xdr:twoCellAnchor>
  <xdr:twoCellAnchor editAs="oneCell">
    <xdr:from>
      <xdr:col>6</xdr:col>
      <xdr:colOff>609600</xdr:colOff>
      <xdr:row>6</xdr:row>
      <xdr:rowOff>790826</xdr:rowOff>
    </xdr:from>
    <xdr:to>
      <xdr:col>10</xdr:col>
      <xdr:colOff>279400</xdr:colOff>
      <xdr:row>6</xdr:row>
      <xdr:rowOff>1577071</xdr:rowOff>
    </xdr:to>
    <xdr:pic>
      <xdr:nvPicPr>
        <xdr:cNvPr id="108" name="Рисунок 107">
          <a:extLst>
            <a:ext uri="{FF2B5EF4-FFF2-40B4-BE49-F238E27FC236}">
              <a16:creationId xmlns:a16="http://schemas.microsoft.com/office/drawing/2014/main" xmlns="" id="{00000000-0008-0000-0D00-00006C000000}"/>
            </a:ext>
          </a:extLst>
        </xdr:cNvPr>
        <xdr:cNvPicPr>
          <a:picLocks noChangeAspect="1"/>
        </xdr:cNvPicPr>
      </xdr:nvPicPr>
      <xdr:blipFill>
        <a:blip xmlns:r="http://schemas.openxmlformats.org/officeDocument/2006/relationships" r:embed="rId57" cstate="print">
          <a:extLst>
            <a:ext uri="{28A0092B-C50C-407E-A947-70E740481C1C}">
              <a14:useLocalDpi xmlns:a14="http://schemas.microsoft.com/office/drawing/2010/main" val="0"/>
            </a:ext>
          </a:extLst>
        </a:blip>
        <a:stretch>
          <a:fillRect/>
        </a:stretch>
      </xdr:blipFill>
      <xdr:spPr>
        <a:xfrm>
          <a:off x="5613400" y="6979959"/>
          <a:ext cx="2175933" cy="786245"/>
        </a:xfrm>
        <a:prstGeom prst="rect">
          <a:avLst/>
        </a:prstGeom>
      </xdr:spPr>
    </xdr:pic>
    <xdr:clientData/>
  </xdr:twoCellAnchor>
  <xdr:twoCellAnchor editAs="oneCell">
    <xdr:from>
      <xdr:col>12</xdr:col>
      <xdr:colOff>194734</xdr:colOff>
      <xdr:row>9</xdr:row>
      <xdr:rowOff>914399</xdr:rowOff>
    </xdr:from>
    <xdr:to>
      <xdr:col>14</xdr:col>
      <xdr:colOff>67734</xdr:colOff>
      <xdr:row>9</xdr:row>
      <xdr:rowOff>1185351</xdr:rowOff>
    </xdr:to>
    <xdr:pic>
      <xdr:nvPicPr>
        <xdr:cNvPr id="110" name="Рисунок 109">
          <a:extLst>
            <a:ext uri="{FF2B5EF4-FFF2-40B4-BE49-F238E27FC236}">
              <a16:creationId xmlns:a16="http://schemas.microsoft.com/office/drawing/2014/main" xmlns="" id="{00000000-0008-0000-0D00-00006E000000}"/>
            </a:ext>
          </a:extLst>
        </xdr:cNvPr>
        <xdr:cNvPicPr>
          <a:picLocks noChangeAspect="1"/>
        </xdr:cNvPicPr>
      </xdr:nvPicPr>
      <xdr:blipFill>
        <a:blip xmlns:r="http://schemas.openxmlformats.org/officeDocument/2006/relationships" r:embed="rId58" cstate="print">
          <a:extLst>
            <a:ext uri="{28A0092B-C50C-407E-A947-70E740481C1C}">
              <a14:useLocalDpi xmlns:a14="http://schemas.microsoft.com/office/drawing/2010/main" val="0"/>
            </a:ext>
          </a:extLst>
        </a:blip>
        <a:stretch>
          <a:fillRect/>
        </a:stretch>
      </xdr:blipFill>
      <xdr:spPr>
        <a:xfrm>
          <a:off x="8957734" y="13792199"/>
          <a:ext cx="1126067" cy="270952"/>
        </a:xfrm>
        <a:prstGeom prst="rect">
          <a:avLst/>
        </a:prstGeom>
      </xdr:spPr>
    </xdr:pic>
    <xdr:clientData/>
  </xdr:twoCellAnchor>
  <xdr:twoCellAnchor>
    <xdr:from>
      <xdr:col>15</xdr:col>
      <xdr:colOff>231321</xdr:colOff>
      <xdr:row>92</xdr:row>
      <xdr:rowOff>0</xdr:rowOff>
    </xdr:from>
    <xdr:to>
      <xdr:col>17</xdr:col>
      <xdr:colOff>2923</xdr:colOff>
      <xdr:row>93</xdr:row>
      <xdr:rowOff>82</xdr:rowOff>
    </xdr:to>
    <xdr:sp macro="" textlink="">
      <xdr:nvSpPr>
        <xdr:cNvPr id="111" name="Прямоугольник 110">
          <a:hlinkClick xmlns:r="http://schemas.openxmlformats.org/officeDocument/2006/relationships" r:id="rId2"/>
          <a:extLst>
            <a:ext uri="{FF2B5EF4-FFF2-40B4-BE49-F238E27FC236}">
              <a16:creationId xmlns:a16="http://schemas.microsoft.com/office/drawing/2014/main" xmlns="" id="{00000000-0008-0000-0D00-00006F000000}"/>
            </a:ext>
          </a:extLst>
        </xdr:cNvPr>
        <xdr:cNvSpPr/>
      </xdr:nvSpPr>
      <xdr:spPr>
        <a:xfrm>
          <a:off x="10845981" y="47663100"/>
          <a:ext cx="1021282" cy="53348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1</xdr:col>
      <xdr:colOff>68797</xdr:colOff>
      <xdr:row>94</xdr:row>
      <xdr:rowOff>114008</xdr:rowOff>
    </xdr:from>
    <xdr:to>
      <xdr:col>16</xdr:col>
      <xdr:colOff>520701</xdr:colOff>
      <xdr:row>99</xdr:row>
      <xdr:rowOff>122367</xdr:rowOff>
    </xdr:to>
    <xdr:sp macro="" textlink="">
      <xdr:nvSpPr>
        <xdr:cNvPr id="112" name="TextBox 111">
          <a:extLst>
            <a:ext uri="{FF2B5EF4-FFF2-40B4-BE49-F238E27FC236}">
              <a16:creationId xmlns:a16="http://schemas.microsoft.com/office/drawing/2014/main" xmlns="" id="{00000000-0008-0000-0D00-000070000000}"/>
            </a:ext>
          </a:extLst>
        </xdr:cNvPr>
        <xdr:cNvSpPr txBox="1"/>
      </xdr:nvSpPr>
      <xdr:spPr>
        <a:xfrm>
          <a:off x="246597" y="50202808"/>
          <a:ext cx="11475504" cy="89735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b="0">
              <a:solidFill>
                <a:sysClr val="windowText" lastClr="000000"/>
              </a:solidFill>
            </a:rPr>
            <a:t>NAC Dallas Lock</a:t>
          </a:r>
          <a:r>
            <a:rPr lang="en-US">
              <a:solidFill>
                <a:sysClr val="windowText" lastClr="000000"/>
              </a:solidFill>
            </a:rPr>
            <a:t>— </a:t>
          </a:r>
          <a:r>
            <a:rPr lang="ru-RU">
              <a:solidFill>
                <a:sysClr val="windowText" lastClr="000000"/>
              </a:solidFill>
            </a:rPr>
            <a:t>программный комплекс, реализующий централизованный контроль и управление доступом к доверенным сетевым зонам корпоративной инфраструктуры. Предназначен для обеспечения защищённого подключения конечных устройств (как стационарных, так и мобильных) к доверенным сегментам корпоративной сети. </a:t>
          </a:r>
          <a:endParaRPr lang="en-US" b="1">
            <a:solidFill>
              <a:sysClr val="windowText" lastClr="000000"/>
            </a:solidFill>
          </a:endParaRPr>
        </a:p>
        <a:p>
          <a:endParaRPr lang="en-US">
            <a:solidFill>
              <a:srgbClr val="FF0000"/>
            </a:solidFill>
            <a:effectLst/>
          </a:endParaRPr>
        </a:p>
        <a:p>
          <a:endParaRPr lang="ru-RU">
            <a:effectLst/>
          </a:endParaRPr>
        </a:p>
      </xdr:txBody>
    </xdr:sp>
    <xdr:clientData/>
  </xdr:twoCellAnchor>
  <xdr:twoCellAnchor editAs="oneCell">
    <xdr:from>
      <xdr:col>4</xdr:col>
      <xdr:colOff>348509</xdr:colOff>
      <xdr:row>97</xdr:row>
      <xdr:rowOff>132685</xdr:rowOff>
    </xdr:from>
    <xdr:to>
      <xdr:col>12</xdr:col>
      <xdr:colOff>283072</xdr:colOff>
      <xdr:row>113</xdr:row>
      <xdr:rowOff>1016</xdr:rowOff>
    </xdr:to>
    <xdr:pic>
      <xdr:nvPicPr>
        <xdr:cNvPr id="113" name="Рисунок 112">
          <a:extLst>
            <a:ext uri="{FF2B5EF4-FFF2-40B4-BE49-F238E27FC236}">
              <a16:creationId xmlns:a16="http://schemas.microsoft.com/office/drawing/2014/main" xmlns="" id="{00000000-0008-0000-0D00-000071000000}"/>
            </a:ext>
          </a:extLst>
        </xdr:cNvPr>
        <xdr:cNvPicPr>
          <a:picLocks noChangeAspect="1"/>
        </xdr:cNvPicPr>
      </xdr:nvPicPr>
      <xdr:blipFill>
        <a:blip xmlns:r="http://schemas.openxmlformats.org/officeDocument/2006/relationships" r:embed="rId59" cstate="print">
          <a:extLst>
            <a:ext uri="{28A0092B-C50C-407E-A947-70E740481C1C}">
              <a14:useLocalDpi xmlns:a14="http://schemas.microsoft.com/office/drawing/2010/main" val="0"/>
            </a:ext>
          </a:extLst>
        </a:blip>
        <a:stretch>
          <a:fillRect/>
        </a:stretch>
      </xdr:blipFill>
      <xdr:spPr>
        <a:xfrm>
          <a:off x="4099242" y="51364485"/>
          <a:ext cx="4946830" cy="2840131"/>
        </a:xfrm>
        <a:prstGeom prst="rect">
          <a:avLst/>
        </a:prstGeom>
      </xdr:spPr>
    </xdr:pic>
    <xdr:clientData/>
  </xdr:twoCellAnchor>
  <xdr:twoCellAnchor>
    <xdr:from>
      <xdr:col>1</xdr:col>
      <xdr:colOff>135471</xdr:colOff>
      <xdr:row>98</xdr:row>
      <xdr:rowOff>179687</xdr:rowOff>
    </xdr:from>
    <xdr:to>
      <xdr:col>3</xdr:col>
      <xdr:colOff>147487</xdr:colOff>
      <xdr:row>112</xdr:row>
      <xdr:rowOff>429</xdr:rowOff>
    </xdr:to>
    <xdr:sp macro="" textlink="">
      <xdr:nvSpPr>
        <xdr:cNvPr id="114" name="TextBox 113">
          <a:extLst>
            <a:ext uri="{FF2B5EF4-FFF2-40B4-BE49-F238E27FC236}">
              <a16:creationId xmlns:a16="http://schemas.microsoft.com/office/drawing/2014/main" xmlns="" id="{00000000-0008-0000-0D00-000072000000}"/>
            </a:ext>
          </a:extLst>
        </xdr:cNvPr>
        <xdr:cNvSpPr txBox="1"/>
      </xdr:nvSpPr>
      <xdr:spPr>
        <a:xfrm>
          <a:off x="321738" y="51597754"/>
          <a:ext cx="2949949" cy="24284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ru-RU" sz="1400" b="1" i="0" u="none" baseline="0">
              <a:solidFill>
                <a:sysClr val="windowText" lastClr="000000"/>
              </a:solidFill>
              <a:effectLst/>
              <a:latin typeface="+mn-lt"/>
              <a:ea typeface="+mn-ea"/>
              <a:cs typeface="+mn-cs"/>
            </a:rPr>
            <a:t>Ключевые особенности:</a:t>
          </a:r>
          <a:endParaRPr lang="ru-RU" sz="1400" u="none">
            <a:solidFill>
              <a:sysClr val="windowText" lastClr="000000"/>
            </a:solidFill>
            <a:effectLst/>
          </a:endParaRPr>
        </a:p>
        <a:p>
          <a:pPr marL="171450" indent="-171450" algn="l">
            <a:spcBef>
              <a:spcPts val="600"/>
            </a:spcBef>
            <a:buFont typeface="Wingdings" panose="05000000000000000000" pitchFamily="2" charset="2"/>
            <a:buChar char="v"/>
          </a:pPr>
          <a:r>
            <a:rPr lang="ru-RU" sz="1100" b="1">
              <a:solidFill>
                <a:sysClr val="windowText" lastClr="000000"/>
              </a:solidFill>
              <a:effectLst/>
              <a:latin typeface="+mn-lt"/>
              <a:ea typeface="+mn-ea"/>
              <a:cs typeface="+mn-cs"/>
            </a:rPr>
            <a:t>Аутентификация и авторизация </a:t>
          </a:r>
          <a:r>
            <a:rPr lang="ru-RU" sz="1100" b="0">
              <a:solidFill>
                <a:schemeClr val="dk1"/>
              </a:solidFill>
              <a:effectLst/>
              <a:latin typeface="+mn-lt"/>
              <a:ea typeface="+mn-ea"/>
              <a:cs typeface="+mn-cs"/>
            </a:rPr>
            <a:t>—</a:t>
          </a:r>
          <a:r>
            <a:rPr lang="ru-RU" sz="1100" b="0">
              <a:solidFill>
                <a:sysClr val="windowText" lastClr="000000"/>
              </a:solidFill>
              <a:effectLst/>
              <a:latin typeface="+mn-lt"/>
              <a:ea typeface="+mn-ea"/>
              <a:cs typeface="+mn-cs"/>
            </a:rPr>
            <a:t> каждое устройство проходит проверку перед подключением.</a:t>
          </a:r>
        </a:p>
        <a:p>
          <a:pPr marL="171450" indent="-171450" algn="l">
            <a:spcBef>
              <a:spcPts val="600"/>
            </a:spcBef>
            <a:buFont typeface="Wingdings" panose="05000000000000000000" pitchFamily="2" charset="2"/>
            <a:buChar char="v"/>
          </a:pPr>
          <a:r>
            <a:rPr lang="ru-RU" sz="1100" b="1">
              <a:solidFill>
                <a:sysClr val="windowText" lastClr="000000"/>
              </a:solidFill>
              <a:effectLst/>
              <a:latin typeface="+mn-lt"/>
              <a:ea typeface="+mn-ea"/>
              <a:cs typeface="+mn-cs"/>
            </a:rPr>
            <a:t>Проверка состояния устройства </a:t>
          </a:r>
          <a:r>
            <a:rPr lang="ru-RU" sz="1100" b="0">
              <a:solidFill>
                <a:schemeClr val="dk1"/>
              </a:solidFill>
              <a:effectLst/>
              <a:latin typeface="+mn-lt"/>
              <a:ea typeface="+mn-ea"/>
              <a:cs typeface="+mn-cs"/>
            </a:rPr>
            <a:t>—</a:t>
          </a:r>
          <a:r>
            <a:rPr lang="ru-RU" sz="1100" b="0">
              <a:solidFill>
                <a:sysClr val="windowText" lastClr="000000"/>
              </a:solidFill>
              <a:effectLst/>
              <a:latin typeface="+mn-lt"/>
              <a:ea typeface="+mn-ea"/>
              <a:cs typeface="+mn-cs"/>
            </a:rPr>
            <a:t> агент отправляет на ЕЦУ отчёт о соответствии корпоративной политике безопасности.</a:t>
          </a:r>
        </a:p>
        <a:p>
          <a:pPr marL="171450" indent="-171450" algn="l">
            <a:spcBef>
              <a:spcPts val="600"/>
            </a:spcBef>
            <a:buFont typeface="Wingdings" panose="05000000000000000000" pitchFamily="2" charset="2"/>
            <a:buChar char="v"/>
          </a:pPr>
          <a:r>
            <a:rPr lang="ru-RU" sz="1100" b="1">
              <a:solidFill>
                <a:sysClr val="windowText" lastClr="000000"/>
              </a:solidFill>
              <a:effectLst/>
              <a:latin typeface="+mn-lt"/>
              <a:ea typeface="+mn-ea"/>
              <a:cs typeface="+mn-cs"/>
            </a:rPr>
            <a:t>Управление доступом </a:t>
          </a:r>
          <a:r>
            <a:rPr lang="ru-RU" sz="1100" b="0">
              <a:solidFill>
                <a:schemeClr val="dk1"/>
              </a:solidFill>
              <a:effectLst/>
              <a:latin typeface="+mn-lt"/>
              <a:ea typeface="+mn-ea"/>
              <a:cs typeface="+mn-cs"/>
            </a:rPr>
            <a:t>—</a:t>
          </a:r>
          <a:r>
            <a:rPr lang="ru-RU" sz="1100" b="0">
              <a:solidFill>
                <a:sysClr val="windowText" lastClr="000000"/>
              </a:solidFill>
              <a:effectLst/>
              <a:latin typeface="+mn-lt"/>
              <a:ea typeface="+mn-ea"/>
              <a:cs typeface="+mn-cs"/>
            </a:rPr>
            <a:t> ЕЦУ назначает устройству уровень доступа — в пределах одной из доверенных зон.</a:t>
          </a:r>
        </a:p>
        <a:p>
          <a:pPr marL="171450" indent="-171450" algn="l">
            <a:spcBef>
              <a:spcPts val="600"/>
            </a:spcBef>
            <a:buFont typeface="Wingdings" panose="05000000000000000000" pitchFamily="2" charset="2"/>
            <a:buChar char="v"/>
          </a:pPr>
          <a:endParaRPr lang="ru-RU" sz="1100" b="0">
            <a:solidFill>
              <a:schemeClr val="dk1"/>
            </a:solidFill>
            <a:effectLst/>
            <a:latin typeface="+mn-lt"/>
            <a:ea typeface="+mn-ea"/>
            <a:cs typeface="+mn-cs"/>
          </a:endParaRPr>
        </a:p>
        <a:p>
          <a:pPr marL="171450" indent="-171450" algn="l">
            <a:spcBef>
              <a:spcPts val="600"/>
            </a:spcBef>
            <a:buFont typeface="Wingdings" panose="05000000000000000000" pitchFamily="2" charset="2"/>
            <a:buChar char="v"/>
          </a:pPr>
          <a:endParaRPr lang="ru-RU" sz="1100" b="0">
            <a:solidFill>
              <a:schemeClr val="dk1"/>
            </a:solidFill>
            <a:effectLst/>
            <a:latin typeface="+mn-lt"/>
            <a:ea typeface="+mn-ea"/>
            <a:cs typeface="+mn-cs"/>
          </a:endParaRPr>
        </a:p>
        <a:p>
          <a:pPr marL="171450" indent="-171450" algn="l">
            <a:spcBef>
              <a:spcPts val="600"/>
            </a:spcBef>
            <a:buFont typeface="Wingdings" panose="05000000000000000000" pitchFamily="2" charset="2"/>
            <a:buChar char="v"/>
          </a:pPr>
          <a:endParaRPr lang="ru-RU" sz="1100" b="0">
            <a:solidFill>
              <a:schemeClr val="dk1"/>
            </a:solidFill>
            <a:effectLst/>
            <a:latin typeface="+mn-lt"/>
            <a:ea typeface="+mn-ea"/>
            <a:cs typeface="+mn-cs"/>
          </a:endParaRPr>
        </a:p>
        <a:p>
          <a:pPr marL="171450" indent="-171450" algn="l">
            <a:spcBef>
              <a:spcPts val="600"/>
            </a:spcBef>
            <a:buFont typeface="Wingdings" panose="05000000000000000000" pitchFamily="2" charset="2"/>
            <a:buChar char="v"/>
          </a:pPr>
          <a:endParaRPr lang="ru-RU" sz="1100" b="0">
            <a:solidFill>
              <a:schemeClr val="dk1"/>
            </a:solidFill>
            <a:effectLst/>
            <a:latin typeface="+mn-lt"/>
            <a:ea typeface="+mn-ea"/>
            <a:cs typeface="+mn-cs"/>
          </a:endParaRPr>
        </a:p>
        <a:p>
          <a:pPr marL="171450" indent="-171450" algn="l">
            <a:spcBef>
              <a:spcPts val="600"/>
            </a:spcBef>
            <a:buFont typeface="Wingdings" panose="05000000000000000000" pitchFamily="2" charset="2"/>
            <a:buChar char="v"/>
          </a:pPr>
          <a:endParaRPr lang="ru-RU" sz="1100" b="0">
            <a:solidFill>
              <a:schemeClr val="dk1"/>
            </a:solidFill>
            <a:effectLst/>
            <a:latin typeface="+mn-lt"/>
            <a:ea typeface="+mn-ea"/>
            <a:cs typeface="+mn-cs"/>
          </a:endParaRPr>
        </a:p>
        <a:p>
          <a:pPr marL="171450" indent="-171450" algn="l">
            <a:spcBef>
              <a:spcPts val="600"/>
            </a:spcBef>
            <a:buFont typeface="Wingdings" panose="05000000000000000000" pitchFamily="2" charset="2"/>
            <a:buChar char="v"/>
          </a:pPr>
          <a:endParaRPr lang="ru-RU" sz="1100" b="1">
            <a:solidFill>
              <a:schemeClr val="dk1"/>
            </a:solidFill>
            <a:effectLst/>
            <a:latin typeface="+mn-lt"/>
            <a:ea typeface="+mn-ea"/>
            <a:cs typeface="+mn-cs"/>
          </a:endParaRPr>
        </a:p>
        <a:p>
          <a:pPr marL="171450" indent="-171450" algn="l">
            <a:spcBef>
              <a:spcPts val="600"/>
            </a:spcBef>
            <a:buFont typeface="Wingdings" panose="05000000000000000000" pitchFamily="2" charset="2"/>
            <a:buChar char="v"/>
          </a:pPr>
          <a:endParaRPr lang="ru-RU" sz="1100" b="0" i="0" u="none" strike="noStrike" baseline="0">
            <a:solidFill>
              <a:schemeClr val="dk1"/>
            </a:solidFill>
            <a:latin typeface="+mn-lt"/>
            <a:ea typeface="+mn-ea"/>
            <a:cs typeface="Arial" panose="020B0604020202020204" pitchFamily="34" charset="0"/>
          </a:endParaRPr>
        </a:p>
      </xdr:txBody>
    </xdr:sp>
    <xdr:clientData/>
  </xdr:twoCellAnchor>
  <xdr:twoCellAnchor>
    <xdr:from>
      <xdr:col>1</xdr:col>
      <xdr:colOff>225166</xdr:colOff>
      <xdr:row>113</xdr:row>
      <xdr:rowOff>11431</xdr:rowOff>
    </xdr:from>
    <xdr:to>
      <xdr:col>3</xdr:col>
      <xdr:colOff>259960</xdr:colOff>
      <xdr:row>121</xdr:row>
      <xdr:rowOff>143934</xdr:rowOff>
    </xdr:to>
    <xdr:sp macro="" textlink="">
      <xdr:nvSpPr>
        <xdr:cNvPr id="115" name="TextBox 114">
          <a:extLst>
            <a:ext uri="{FF2B5EF4-FFF2-40B4-BE49-F238E27FC236}">
              <a16:creationId xmlns:a16="http://schemas.microsoft.com/office/drawing/2014/main" xmlns="" id="{00000000-0008-0000-0D00-000073000000}"/>
            </a:ext>
          </a:extLst>
        </xdr:cNvPr>
        <xdr:cNvSpPr txBox="1"/>
      </xdr:nvSpPr>
      <xdr:spPr>
        <a:xfrm>
          <a:off x="411433" y="54223498"/>
          <a:ext cx="2972727" cy="162263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ru-RU" sz="1100" b="1">
              <a:solidFill>
                <a:sysClr val="windowText" lastClr="000000"/>
              </a:solidFill>
              <a:effectLst/>
              <a:latin typeface="+mn-lt"/>
              <a:ea typeface="+mn-ea"/>
              <a:cs typeface="+mn-cs"/>
            </a:rPr>
            <a:t>Соответствие требованиям</a:t>
          </a:r>
        </a:p>
        <a:p>
          <a:pPr marL="0" marR="0" lvl="0" indent="0" algn="l" defTabSz="914400" eaLnBrk="1" fontAlgn="auto" latinLnBrk="0" hangingPunct="1">
            <a:lnSpc>
              <a:spcPct val="100000"/>
            </a:lnSpc>
            <a:spcBef>
              <a:spcPts val="0"/>
            </a:spcBef>
            <a:spcAft>
              <a:spcPts val="0"/>
            </a:spcAft>
            <a:buClrTx/>
            <a:buSzTx/>
            <a:buFontTx/>
            <a:buNone/>
            <a:tabLst/>
            <a:defRPr/>
          </a:pPr>
          <a:r>
            <a:rPr lang="ru-RU" sz="1100" b="1">
              <a:solidFill>
                <a:sysClr val="windowText" lastClr="000000"/>
              </a:solidFill>
              <a:effectLst/>
              <a:latin typeface="+mn-lt"/>
              <a:ea typeface="+mn-ea"/>
              <a:cs typeface="+mn-cs"/>
            </a:rPr>
            <a:t>ИАФ.2 </a:t>
          </a:r>
          <a:r>
            <a:rPr lang="ru-RU" sz="1100" b="0">
              <a:solidFill>
                <a:sysClr val="windowText" lastClr="000000"/>
              </a:solidFill>
              <a:effectLst/>
              <a:latin typeface="+mn-lt"/>
              <a:ea typeface="+mn-ea"/>
              <a:cs typeface="+mn-cs"/>
            </a:rPr>
            <a:t>— выполнение меры защиты из приказов ФСТЭК России: идентификация и аутентификация всех типов устройств (стационарных, мобильных, портативных)</a:t>
          </a:r>
          <a:endParaRPr lang="ru-RU" sz="1100" b="0">
            <a:solidFill>
              <a:schemeClr val="dk1"/>
            </a:solidFill>
            <a:effectLst/>
            <a:latin typeface="+mn-lt"/>
            <a:ea typeface="+mn-ea"/>
            <a:cs typeface="+mn-cs"/>
          </a:endParaRPr>
        </a:p>
        <a:p>
          <a:pPr marL="171450" indent="-171450" algn="l">
            <a:spcBef>
              <a:spcPts val="600"/>
            </a:spcBef>
            <a:buFont typeface="Wingdings" panose="05000000000000000000" pitchFamily="2" charset="2"/>
            <a:buChar char="v"/>
          </a:pPr>
          <a:endParaRPr lang="ru-RU" sz="1100" b="0">
            <a:solidFill>
              <a:schemeClr val="dk1"/>
            </a:solidFill>
            <a:effectLst/>
            <a:latin typeface="+mn-lt"/>
            <a:ea typeface="+mn-ea"/>
            <a:cs typeface="+mn-cs"/>
          </a:endParaRPr>
        </a:p>
        <a:p>
          <a:pPr marL="171450" indent="-171450" algn="l">
            <a:spcBef>
              <a:spcPts val="600"/>
            </a:spcBef>
            <a:buFont typeface="Wingdings" panose="05000000000000000000" pitchFamily="2" charset="2"/>
            <a:buChar char="v"/>
          </a:pPr>
          <a:endParaRPr lang="ru-RU" sz="1100" b="0">
            <a:solidFill>
              <a:schemeClr val="dk1"/>
            </a:solidFill>
            <a:effectLst/>
            <a:latin typeface="+mn-lt"/>
            <a:ea typeface="+mn-ea"/>
            <a:cs typeface="+mn-cs"/>
          </a:endParaRPr>
        </a:p>
        <a:p>
          <a:pPr marL="171450" indent="-171450" algn="l">
            <a:spcBef>
              <a:spcPts val="600"/>
            </a:spcBef>
            <a:buFont typeface="Wingdings" panose="05000000000000000000" pitchFamily="2" charset="2"/>
            <a:buChar char="v"/>
          </a:pPr>
          <a:endParaRPr lang="ru-RU" sz="1100" b="1">
            <a:solidFill>
              <a:schemeClr val="dk1"/>
            </a:solidFill>
            <a:effectLst/>
            <a:latin typeface="+mn-lt"/>
            <a:ea typeface="+mn-ea"/>
            <a:cs typeface="+mn-cs"/>
          </a:endParaRPr>
        </a:p>
        <a:p>
          <a:pPr marL="171450" indent="-171450" algn="l">
            <a:spcBef>
              <a:spcPts val="600"/>
            </a:spcBef>
            <a:buFont typeface="Wingdings" panose="05000000000000000000" pitchFamily="2" charset="2"/>
            <a:buChar char="v"/>
          </a:pPr>
          <a:endParaRPr lang="ru-RU" sz="1100" b="0" i="0" u="none" strike="noStrike" baseline="0">
            <a:solidFill>
              <a:schemeClr val="dk1"/>
            </a:solidFill>
            <a:latin typeface="+mn-lt"/>
            <a:ea typeface="+mn-ea"/>
            <a:cs typeface="Arial" panose="020B0604020202020204" pitchFamily="34" charset="0"/>
          </a:endParaRPr>
        </a:p>
      </xdr:txBody>
    </xdr:sp>
    <xdr:clientData/>
  </xdr:twoCellAnchor>
  <xdr:twoCellAnchor>
    <xdr:from>
      <xdr:col>3</xdr:col>
      <xdr:colOff>587109</xdr:colOff>
      <xdr:row>113</xdr:row>
      <xdr:rowOff>54974</xdr:rowOff>
    </xdr:from>
    <xdr:to>
      <xdr:col>8</xdr:col>
      <xdr:colOff>425324</xdr:colOff>
      <xdr:row>118</xdr:row>
      <xdr:rowOff>64295</xdr:rowOff>
    </xdr:to>
    <xdr:sp macro="" textlink="">
      <xdr:nvSpPr>
        <xdr:cNvPr id="116" name="TextBox 115">
          <a:extLst>
            <a:ext uri="{FF2B5EF4-FFF2-40B4-BE49-F238E27FC236}">
              <a16:creationId xmlns:a16="http://schemas.microsoft.com/office/drawing/2014/main" xmlns="" id="{00000000-0008-0000-0D00-000074000000}"/>
            </a:ext>
          </a:extLst>
        </xdr:cNvPr>
        <xdr:cNvSpPr txBox="1"/>
      </xdr:nvSpPr>
      <xdr:spPr>
        <a:xfrm>
          <a:off x="3711309" y="54267041"/>
          <a:ext cx="2970882" cy="9406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ru-RU" sz="1100" b="1">
              <a:solidFill>
                <a:sysClr val="windowText" lastClr="000000"/>
              </a:solidFill>
              <a:effectLst/>
              <a:latin typeface="+mn-lt"/>
              <a:ea typeface="+mn-ea"/>
              <a:cs typeface="+mn-cs"/>
            </a:rPr>
            <a:t>Кроссплатформенные агенты</a:t>
          </a:r>
        </a:p>
        <a:p>
          <a:pPr marL="171450" marR="0" lvl="0" indent="-171450" algn="l" defTabSz="914400" rtl="0" eaLnBrk="1" fontAlgn="auto" latinLnBrk="0" hangingPunct="1">
            <a:lnSpc>
              <a:spcPct val="100000"/>
            </a:lnSpc>
            <a:spcBef>
              <a:spcPts val="600"/>
            </a:spcBef>
            <a:spcAft>
              <a:spcPts val="0"/>
            </a:spcAft>
            <a:buClrTx/>
            <a:buSzTx/>
            <a:buFont typeface="Wingdings" panose="05000000000000000000" pitchFamily="2" charset="2"/>
            <a:buChar char="v"/>
            <a:tabLst/>
            <a:defRPr/>
          </a:pPr>
          <a:r>
            <a:rPr lang="ru-RU" sz="1100">
              <a:solidFill>
                <a:sysClr val="windowText" lastClr="000000"/>
              </a:solidFill>
              <a:effectLst/>
              <a:latin typeface="+mn-lt"/>
              <a:ea typeface="+mn-ea"/>
              <a:cs typeface="+mn-cs"/>
            </a:rPr>
            <a:t>Поддержка Android, Windows и Linux</a:t>
          </a:r>
        </a:p>
        <a:p>
          <a:pPr marL="171450" marR="0" lvl="0" indent="-171450" algn="l" defTabSz="914400" rtl="0" eaLnBrk="1" fontAlgn="auto" latinLnBrk="0" hangingPunct="1">
            <a:lnSpc>
              <a:spcPct val="100000"/>
            </a:lnSpc>
            <a:spcBef>
              <a:spcPts val="600"/>
            </a:spcBef>
            <a:spcAft>
              <a:spcPts val="0"/>
            </a:spcAft>
            <a:buClrTx/>
            <a:buSzTx/>
            <a:buFont typeface="Wingdings" panose="05000000000000000000" pitchFamily="2" charset="2"/>
            <a:buChar char="v"/>
            <a:tabLst/>
            <a:defRPr/>
          </a:pPr>
          <a:r>
            <a:rPr lang="ru-RU" sz="1100">
              <a:solidFill>
                <a:sysClr val="windowText" lastClr="000000"/>
              </a:solidFill>
              <a:effectLst/>
            </a:rPr>
            <a:t>Контроль и управление всеми клиентами, включая удалённые и мобильные</a:t>
          </a:r>
        </a:p>
        <a:p>
          <a:pPr marL="171450" marR="0" lvl="0" indent="-171450" algn="l" defTabSz="914400" rtl="0" eaLnBrk="1" fontAlgn="auto" latinLnBrk="0" hangingPunct="1">
            <a:lnSpc>
              <a:spcPct val="100000"/>
            </a:lnSpc>
            <a:spcBef>
              <a:spcPts val="600"/>
            </a:spcBef>
            <a:spcAft>
              <a:spcPts val="0"/>
            </a:spcAft>
            <a:buClrTx/>
            <a:buSzTx/>
            <a:buFont typeface="Wingdings" panose="05000000000000000000" pitchFamily="2" charset="2"/>
            <a:buChar char="v"/>
            <a:tabLst/>
            <a:defRPr/>
          </a:pPr>
          <a:endParaRPr lang="ru-RU" sz="1100">
            <a:solidFill>
              <a:sysClr val="windowText" lastClr="000000"/>
            </a:solidFill>
            <a:effectLst/>
          </a:endParaRPr>
        </a:p>
        <a:p>
          <a:pPr marL="171450" indent="-171450" algn="l">
            <a:spcBef>
              <a:spcPts val="600"/>
            </a:spcBef>
            <a:buFont typeface="Wingdings" panose="05000000000000000000" pitchFamily="2" charset="2"/>
            <a:buChar char="v"/>
          </a:pPr>
          <a:endParaRPr lang="ru-RU" sz="1100" b="0">
            <a:solidFill>
              <a:sysClr val="windowText" lastClr="000000"/>
            </a:solidFill>
            <a:effectLst/>
            <a:latin typeface="+mn-lt"/>
            <a:ea typeface="+mn-ea"/>
            <a:cs typeface="+mn-cs"/>
          </a:endParaRPr>
        </a:p>
        <a:p>
          <a:pPr marL="171450" indent="-171450" algn="l">
            <a:spcBef>
              <a:spcPts val="600"/>
            </a:spcBef>
            <a:buFont typeface="Wingdings" panose="05000000000000000000" pitchFamily="2" charset="2"/>
            <a:buChar char="v"/>
          </a:pPr>
          <a:endParaRPr lang="ru-RU" sz="1100" b="0">
            <a:solidFill>
              <a:sysClr val="windowText" lastClr="000000"/>
            </a:solidFill>
            <a:effectLst/>
            <a:latin typeface="+mn-lt"/>
            <a:ea typeface="+mn-ea"/>
            <a:cs typeface="+mn-cs"/>
          </a:endParaRPr>
        </a:p>
        <a:p>
          <a:pPr marL="171450" indent="-171450" algn="l">
            <a:spcBef>
              <a:spcPts val="600"/>
            </a:spcBef>
            <a:buFont typeface="Wingdings" panose="05000000000000000000" pitchFamily="2" charset="2"/>
            <a:buChar char="v"/>
          </a:pPr>
          <a:endParaRPr lang="ru-RU" sz="1100" b="0">
            <a:solidFill>
              <a:sysClr val="windowText" lastClr="000000"/>
            </a:solidFill>
            <a:effectLst/>
            <a:latin typeface="+mn-lt"/>
            <a:ea typeface="+mn-ea"/>
            <a:cs typeface="+mn-cs"/>
          </a:endParaRPr>
        </a:p>
        <a:p>
          <a:pPr marL="171450" indent="-171450" algn="l">
            <a:spcBef>
              <a:spcPts val="600"/>
            </a:spcBef>
            <a:buFont typeface="Wingdings" panose="05000000000000000000" pitchFamily="2" charset="2"/>
            <a:buChar char="v"/>
          </a:pPr>
          <a:endParaRPr lang="ru-RU" sz="1100" b="0">
            <a:solidFill>
              <a:sysClr val="windowText" lastClr="000000"/>
            </a:solidFill>
            <a:effectLst/>
            <a:latin typeface="+mn-lt"/>
            <a:ea typeface="+mn-ea"/>
            <a:cs typeface="+mn-cs"/>
          </a:endParaRPr>
        </a:p>
        <a:p>
          <a:pPr marL="171450" indent="-171450" algn="l">
            <a:spcBef>
              <a:spcPts val="600"/>
            </a:spcBef>
            <a:buFont typeface="Wingdings" panose="05000000000000000000" pitchFamily="2" charset="2"/>
            <a:buChar char="v"/>
          </a:pPr>
          <a:endParaRPr lang="ru-RU" sz="1100" b="0">
            <a:solidFill>
              <a:sysClr val="windowText" lastClr="000000"/>
            </a:solidFill>
            <a:effectLst/>
            <a:latin typeface="+mn-lt"/>
            <a:ea typeface="+mn-ea"/>
            <a:cs typeface="+mn-cs"/>
          </a:endParaRPr>
        </a:p>
        <a:p>
          <a:pPr marL="171450" indent="-171450" algn="l">
            <a:spcBef>
              <a:spcPts val="600"/>
            </a:spcBef>
            <a:buFont typeface="Wingdings" panose="05000000000000000000" pitchFamily="2" charset="2"/>
            <a:buChar char="v"/>
          </a:pPr>
          <a:endParaRPr lang="ru-RU" sz="1100" b="1">
            <a:solidFill>
              <a:sysClr val="windowText" lastClr="000000"/>
            </a:solidFill>
            <a:effectLst/>
            <a:latin typeface="+mn-lt"/>
            <a:ea typeface="+mn-ea"/>
            <a:cs typeface="+mn-cs"/>
          </a:endParaRPr>
        </a:p>
        <a:p>
          <a:pPr marL="171450" indent="-171450" algn="l">
            <a:spcBef>
              <a:spcPts val="600"/>
            </a:spcBef>
            <a:buFont typeface="Wingdings" panose="05000000000000000000" pitchFamily="2" charset="2"/>
            <a:buChar char="v"/>
          </a:pPr>
          <a:endParaRPr lang="ru-RU" sz="1100" b="0" i="0" u="none" strike="noStrike" baseline="0">
            <a:solidFill>
              <a:sysClr val="windowText" lastClr="000000"/>
            </a:solidFill>
            <a:latin typeface="+mn-lt"/>
            <a:ea typeface="+mn-ea"/>
            <a:cs typeface="Arial" panose="020B0604020202020204" pitchFamily="34" charset="0"/>
          </a:endParaRPr>
        </a:p>
      </xdr:txBody>
    </xdr:sp>
    <xdr:clientData/>
  </xdr:twoCellAnchor>
  <xdr:twoCellAnchor>
    <xdr:from>
      <xdr:col>9</xdr:col>
      <xdr:colOff>113189</xdr:colOff>
      <xdr:row>113</xdr:row>
      <xdr:rowOff>50793</xdr:rowOff>
    </xdr:from>
    <xdr:to>
      <xdr:col>15</xdr:col>
      <xdr:colOff>263515</xdr:colOff>
      <xdr:row>119</xdr:row>
      <xdr:rowOff>169211</xdr:rowOff>
    </xdr:to>
    <xdr:sp macro="" textlink="">
      <xdr:nvSpPr>
        <xdr:cNvPr id="117" name="TextBox 116">
          <a:extLst>
            <a:ext uri="{FF2B5EF4-FFF2-40B4-BE49-F238E27FC236}">
              <a16:creationId xmlns:a16="http://schemas.microsoft.com/office/drawing/2014/main" xmlns="" id="{00000000-0008-0000-0D00-000075000000}"/>
            </a:ext>
          </a:extLst>
        </xdr:cNvPr>
        <xdr:cNvSpPr txBox="1"/>
      </xdr:nvSpPr>
      <xdr:spPr>
        <a:xfrm>
          <a:off x="6996589" y="54262860"/>
          <a:ext cx="3909526" cy="123601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ru-RU" sz="1100" b="1">
              <a:solidFill>
                <a:sysClr val="windowText" lastClr="000000"/>
              </a:solidFill>
              <a:effectLst/>
              <a:latin typeface="+mn-lt"/>
              <a:ea typeface="+mn-ea"/>
              <a:cs typeface="+mn-cs"/>
            </a:rPr>
            <a:t>Безопасность и управляемость</a:t>
          </a:r>
        </a:p>
        <a:p>
          <a:pPr marL="171450" marR="0" lvl="0" indent="-171450" algn="l" defTabSz="914400" rtl="0" eaLnBrk="1" fontAlgn="auto" latinLnBrk="0" hangingPunct="1">
            <a:lnSpc>
              <a:spcPct val="100000"/>
            </a:lnSpc>
            <a:spcBef>
              <a:spcPts val="600"/>
            </a:spcBef>
            <a:spcAft>
              <a:spcPts val="0"/>
            </a:spcAft>
            <a:buClrTx/>
            <a:buSzTx/>
            <a:buFont typeface="Wingdings" panose="05000000000000000000" pitchFamily="2" charset="2"/>
            <a:buChar char="v"/>
            <a:tabLst/>
            <a:defRPr/>
          </a:pPr>
          <a:r>
            <a:rPr lang="ru-RU" sz="1100">
              <a:solidFill>
                <a:sysClr val="windowText" lastClr="000000"/>
              </a:solidFill>
              <a:effectLst/>
              <a:latin typeface="+mn-lt"/>
              <a:ea typeface="+mn-ea"/>
              <a:cs typeface="+mn-cs"/>
            </a:rPr>
            <a:t>Снижение поверхности атак за счёт профилирования устройств</a:t>
          </a:r>
        </a:p>
        <a:p>
          <a:pPr marL="171450" marR="0" lvl="0" indent="-171450" algn="l" defTabSz="914400" rtl="0" eaLnBrk="1" fontAlgn="auto" latinLnBrk="0" hangingPunct="1">
            <a:lnSpc>
              <a:spcPct val="100000"/>
            </a:lnSpc>
            <a:spcBef>
              <a:spcPts val="600"/>
            </a:spcBef>
            <a:spcAft>
              <a:spcPts val="0"/>
            </a:spcAft>
            <a:buClrTx/>
            <a:buSzTx/>
            <a:buFont typeface="Wingdings" panose="05000000000000000000" pitchFamily="2" charset="2"/>
            <a:buChar char="v"/>
            <a:tabLst/>
            <a:defRPr/>
          </a:pPr>
          <a:r>
            <a:rPr lang="ru-RU" sz="1100">
              <a:solidFill>
                <a:sysClr val="windowText" lastClr="000000"/>
              </a:solidFill>
              <a:effectLst/>
            </a:rPr>
            <a:t>Полная видимость подключений и состояния устройств</a:t>
          </a:r>
        </a:p>
        <a:p>
          <a:pPr marL="171450" marR="0" lvl="0" indent="-171450" algn="l" defTabSz="914400" rtl="0" eaLnBrk="1" fontAlgn="auto" latinLnBrk="0" hangingPunct="1">
            <a:lnSpc>
              <a:spcPct val="100000"/>
            </a:lnSpc>
            <a:spcBef>
              <a:spcPts val="600"/>
            </a:spcBef>
            <a:spcAft>
              <a:spcPts val="0"/>
            </a:spcAft>
            <a:buClrTx/>
            <a:buSzTx/>
            <a:buFont typeface="Wingdings" panose="05000000000000000000" pitchFamily="2" charset="2"/>
            <a:buChar char="v"/>
            <a:tabLst/>
            <a:defRPr/>
          </a:pPr>
          <a:r>
            <a:rPr lang="ru-RU" sz="1100">
              <a:solidFill>
                <a:sysClr val="windowText" lastClr="000000"/>
              </a:solidFill>
              <a:effectLst/>
            </a:rPr>
            <a:t>Безопасный удалённый доступ с централизованным управлением правами</a:t>
          </a:r>
        </a:p>
        <a:p>
          <a:pPr marL="171450" marR="0" lvl="0" indent="-171450" algn="l" defTabSz="914400" rtl="0" eaLnBrk="1" fontAlgn="auto" latinLnBrk="0" hangingPunct="1">
            <a:lnSpc>
              <a:spcPct val="100000"/>
            </a:lnSpc>
            <a:spcBef>
              <a:spcPts val="600"/>
            </a:spcBef>
            <a:spcAft>
              <a:spcPts val="0"/>
            </a:spcAft>
            <a:buClrTx/>
            <a:buSzTx/>
            <a:buFont typeface="Wingdings" panose="05000000000000000000" pitchFamily="2" charset="2"/>
            <a:buChar char="v"/>
            <a:tabLst/>
            <a:defRPr/>
          </a:pPr>
          <a:endParaRPr lang="ru-RU" sz="1100">
            <a:solidFill>
              <a:sysClr val="windowText" lastClr="000000"/>
            </a:solidFill>
            <a:effectLst/>
          </a:endParaRPr>
        </a:p>
        <a:p>
          <a:pPr marL="171450" indent="-171450" algn="l">
            <a:spcBef>
              <a:spcPts val="600"/>
            </a:spcBef>
            <a:buFont typeface="Wingdings" panose="05000000000000000000" pitchFamily="2" charset="2"/>
            <a:buChar char="v"/>
          </a:pPr>
          <a:endParaRPr lang="ru-RU" sz="1100" b="0">
            <a:solidFill>
              <a:sysClr val="windowText" lastClr="000000"/>
            </a:solidFill>
            <a:effectLst/>
            <a:latin typeface="+mn-lt"/>
            <a:ea typeface="+mn-ea"/>
            <a:cs typeface="+mn-cs"/>
          </a:endParaRPr>
        </a:p>
        <a:p>
          <a:pPr marL="171450" indent="-171450" algn="l">
            <a:spcBef>
              <a:spcPts val="600"/>
            </a:spcBef>
            <a:buFont typeface="Wingdings" panose="05000000000000000000" pitchFamily="2" charset="2"/>
            <a:buChar char="v"/>
          </a:pPr>
          <a:endParaRPr lang="ru-RU" sz="1100" b="0">
            <a:solidFill>
              <a:sysClr val="windowText" lastClr="000000"/>
            </a:solidFill>
            <a:effectLst/>
            <a:latin typeface="+mn-lt"/>
            <a:ea typeface="+mn-ea"/>
            <a:cs typeface="+mn-cs"/>
          </a:endParaRPr>
        </a:p>
        <a:p>
          <a:pPr marL="171450" indent="-171450" algn="l">
            <a:spcBef>
              <a:spcPts val="600"/>
            </a:spcBef>
            <a:buFont typeface="Wingdings" panose="05000000000000000000" pitchFamily="2" charset="2"/>
            <a:buChar char="v"/>
          </a:pPr>
          <a:endParaRPr lang="ru-RU" sz="1100" b="0">
            <a:solidFill>
              <a:sysClr val="windowText" lastClr="000000"/>
            </a:solidFill>
            <a:effectLst/>
            <a:latin typeface="+mn-lt"/>
            <a:ea typeface="+mn-ea"/>
            <a:cs typeface="+mn-cs"/>
          </a:endParaRPr>
        </a:p>
        <a:p>
          <a:pPr marL="171450" indent="-171450" algn="l">
            <a:spcBef>
              <a:spcPts val="600"/>
            </a:spcBef>
            <a:buFont typeface="Wingdings" panose="05000000000000000000" pitchFamily="2" charset="2"/>
            <a:buChar char="v"/>
          </a:pPr>
          <a:endParaRPr lang="ru-RU" sz="1100" b="0">
            <a:solidFill>
              <a:sysClr val="windowText" lastClr="000000"/>
            </a:solidFill>
            <a:effectLst/>
            <a:latin typeface="+mn-lt"/>
            <a:ea typeface="+mn-ea"/>
            <a:cs typeface="+mn-cs"/>
          </a:endParaRPr>
        </a:p>
        <a:p>
          <a:pPr marL="171450" indent="-171450" algn="l">
            <a:spcBef>
              <a:spcPts val="600"/>
            </a:spcBef>
            <a:buFont typeface="Wingdings" panose="05000000000000000000" pitchFamily="2" charset="2"/>
            <a:buChar char="v"/>
          </a:pPr>
          <a:endParaRPr lang="ru-RU" sz="1100" b="0">
            <a:solidFill>
              <a:sysClr val="windowText" lastClr="000000"/>
            </a:solidFill>
            <a:effectLst/>
            <a:latin typeface="+mn-lt"/>
            <a:ea typeface="+mn-ea"/>
            <a:cs typeface="+mn-cs"/>
          </a:endParaRPr>
        </a:p>
        <a:p>
          <a:pPr marL="171450" indent="-171450" algn="l">
            <a:spcBef>
              <a:spcPts val="600"/>
            </a:spcBef>
            <a:buFont typeface="Wingdings" panose="05000000000000000000" pitchFamily="2" charset="2"/>
            <a:buChar char="v"/>
          </a:pPr>
          <a:endParaRPr lang="ru-RU" sz="1100" b="1">
            <a:solidFill>
              <a:sysClr val="windowText" lastClr="000000"/>
            </a:solidFill>
            <a:effectLst/>
            <a:latin typeface="+mn-lt"/>
            <a:ea typeface="+mn-ea"/>
            <a:cs typeface="+mn-cs"/>
          </a:endParaRPr>
        </a:p>
        <a:p>
          <a:pPr marL="171450" indent="-171450" algn="l">
            <a:spcBef>
              <a:spcPts val="600"/>
            </a:spcBef>
            <a:buFont typeface="Wingdings" panose="05000000000000000000" pitchFamily="2" charset="2"/>
            <a:buChar char="v"/>
          </a:pPr>
          <a:endParaRPr lang="ru-RU" sz="1100" b="0" i="0" u="none" strike="noStrike" baseline="0">
            <a:solidFill>
              <a:sysClr val="windowText" lastClr="000000"/>
            </a:solidFill>
            <a:latin typeface="+mn-lt"/>
            <a:ea typeface="+mn-ea"/>
            <a:cs typeface="Arial" panose="020B0604020202020204" pitchFamily="34" charset="0"/>
          </a:endParaRPr>
        </a:p>
      </xdr:txBody>
    </xdr:sp>
    <xdr:clientData/>
  </xdr:twoCellAnchor>
  <xdr:twoCellAnchor>
    <xdr:from>
      <xdr:col>1</xdr:col>
      <xdr:colOff>262467</xdr:colOff>
      <xdr:row>6</xdr:row>
      <xdr:rowOff>2319866</xdr:rowOff>
    </xdr:from>
    <xdr:to>
      <xdr:col>9</xdr:col>
      <xdr:colOff>524933</xdr:colOff>
      <xdr:row>7</xdr:row>
      <xdr:rowOff>550333</xdr:rowOff>
    </xdr:to>
    <xdr:sp macro="" textlink="">
      <xdr:nvSpPr>
        <xdr:cNvPr id="119" name="TextBox 118">
          <a:extLst>
            <a:ext uri="{FF2B5EF4-FFF2-40B4-BE49-F238E27FC236}">
              <a16:creationId xmlns:a16="http://schemas.microsoft.com/office/drawing/2014/main" xmlns="" id="{00000000-0008-0000-0D00-000077000000}"/>
            </a:ext>
          </a:extLst>
        </xdr:cNvPr>
        <xdr:cNvSpPr txBox="1"/>
      </xdr:nvSpPr>
      <xdr:spPr>
        <a:xfrm>
          <a:off x="448734" y="8508999"/>
          <a:ext cx="6959599" cy="34290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endParaRPr lang="ru-RU">
            <a:effectLst/>
          </a:endParaRPr>
        </a:p>
        <a:p>
          <a:pPr eaLnBrk="1" fontAlgn="auto" latinLnBrk="0" hangingPunct="1"/>
          <a:r>
            <a:rPr lang="ru-RU" sz="1400" b="1" i="0" u="none" baseline="0">
              <a:solidFill>
                <a:schemeClr val="dk1"/>
              </a:solidFill>
              <a:effectLst/>
              <a:latin typeface="+mn-lt"/>
              <a:ea typeface="+mn-ea"/>
              <a:cs typeface="+mn-cs"/>
            </a:rPr>
            <a:t>Ключевые особенности СДЗ:</a:t>
          </a:r>
        </a:p>
        <a:p>
          <a:pPr marL="171450" indent="-171450" algn="l" eaLnBrk="1" fontAlgn="auto" latinLnBrk="0" hangingPunct="1">
            <a:spcBef>
              <a:spcPts val="600"/>
            </a:spcBef>
            <a:buFont typeface="Wingdings" panose="05000000000000000000" pitchFamily="2" charset="2"/>
            <a:buChar char="v"/>
          </a:pPr>
          <a:r>
            <a:rPr lang="ru-RU" sz="1100" b="1" i="0" u="none" strike="noStrike" baseline="0">
              <a:solidFill>
                <a:schemeClr val="dk1"/>
              </a:solidFill>
              <a:latin typeface="+mn-lt"/>
              <a:ea typeface="+mn-ea"/>
              <a:cs typeface="Arial" panose="020B0604020202020204" pitchFamily="34" charset="0"/>
            </a:rPr>
            <a:t>Централизованное управление </a:t>
          </a:r>
          <a:r>
            <a:rPr lang="ru-RU" sz="1100" b="0" i="0" u="none" strike="noStrike" baseline="0">
              <a:solidFill>
                <a:schemeClr val="dk1"/>
              </a:solidFill>
              <a:latin typeface="+mn-lt"/>
              <a:ea typeface="+mn-ea"/>
              <a:cs typeface="Arial" panose="020B0604020202020204" pitchFamily="34" charset="0"/>
            </a:rPr>
            <a:t>настройками СДЗ из Единого центра управления </a:t>
          </a:r>
          <a:r>
            <a:rPr lang="en-US" sz="1100" b="0" i="0" u="none" strike="noStrike" baseline="0">
              <a:solidFill>
                <a:schemeClr val="dk1"/>
              </a:solidFill>
              <a:latin typeface="+mn-lt"/>
              <a:ea typeface="+mn-ea"/>
              <a:cs typeface="Arial" panose="020B0604020202020204" pitchFamily="34" charset="0"/>
            </a:rPr>
            <a:t>Dallas Lock </a:t>
          </a:r>
          <a:r>
            <a:rPr lang="ru-RU" sz="1100" b="0" i="0" u="none" strike="noStrike" baseline="0">
              <a:solidFill>
                <a:schemeClr val="dk1"/>
              </a:solidFill>
              <a:latin typeface="+mn-lt"/>
              <a:ea typeface="+mn-ea"/>
              <a:cs typeface="Arial" panose="020B0604020202020204" pitchFamily="34" charset="0"/>
            </a:rPr>
            <a:t>без использования клиентского ПО.</a:t>
          </a:r>
        </a:p>
        <a:p>
          <a:pPr marL="171450" indent="-171450" algn="l" eaLnBrk="1" fontAlgn="auto" latinLnBrk="0" hangingPunct="1">
            <a:spcBef>
              <a:spcPts val="600"/>
            </a:spcBef>
            <a:buFont typeface="Wingdings" panose="05000000000000000000" pitchFamily="2" charset="2"/>
            <a:buChar char="v"/>
          </a:pPr>
          <a:r>
            <a:rPr lang="ru-RU" sz="1100" b="1" i="0" u="none" strike="noStrike" baseline="0">
              <a:solidFill>
                <a:schemeClr val="dk1"/>
              </a:solidFill>
              <a:latin typeface="+mn-lt"/>
              <a:ea typeface="+mn-ea"/>
              <a:cs typeface="Arial" panose="020B0604020202020204" pitchFamily="34" charset="0"/>
            </a:rPr>
            <a:t>Функционирование независимо от </a:t>
          </a:r>
          <a:r>
            <a:rPr lang="ru-RU" sz="1100" b="1" i="0" baseline="0">
              <a:solidFill>
                <a:schemeClr val="dk1"/>
              </a:solidFill>
              <a:effectLst/>
              <a:latin typeface="+mn-lt"/>
              <a:ea typeface="+mn-ea"/>
              <a:cs typeface="+mn-cs"/>
            </a:rPr>
            <a:t>ОС</a:t>
          </a:r>
          <a:r>
            <a:rPr lang="en-US" sz="1100" b="1" i="0" baseline="0">
              <a:solidFill>
                <a:schemeClr val="dk1"/>
              </a:solidFill>
              <a:effectLst/>
              <a:latin typeface="+mn-lt"/>
              <a:ea typeface="+mn-ea"/>
              <a:cs typeface="+mn-cs"/>
            </a:rPr>
            <a:t> </a:t>
          </a:r>
          <a:r>
            <a:rPr lang="en-US" sz="1100" b="0" i="0" baseline="0">
              <a:solidFill>
                <a:schemeClr val="dk1"/>
              </a:solidFill>
              <a:effectLst/>
              <a:latin typeface="+mn-lt"/>
              <a:ea typeface="+mn-ea"/>
              <a:cs typeface="+mn-cs"/>
            </a:rPr>
            <a:t>(</a:t>
          </a:r>
          <a:r>
            <a:rPr lang="ru-RU" sz="1100" b="0" i="0" baseline="0">
              <a:solidFill>
                <a:schemeClr val="dk1"/>
              </a:solidFill>
              <a:effectLst/>
              <a:latin typeface="+mn-lt"/>
              <a:ea typeface="+mn-ea"/>
              <a:cs typeface="+mn-cs"/>
            </a:rPr>
            <a:t>в новой версии поддержана микроядерная киберимунная </a:t>
          </a:r>
          <a:r>
            <a:rPr lang="en-US" sz="1100" b="0" i="0" baseline="0">
              <a:solidFill>
                <a:schemeClr val="dk1"/>
              </a:solidFill>
              <a:effectLst/>
              <a:latin typeface="+mn-lt"/>
              <a:ea typeface="+mn-ea"/>
              <a:cs typeface="+mn-cs"/>
            </a:rPr>
            <a:t>                   </a:t>
          </a:r>
          <a:r>
            <a:rPr lang="ru-RU" sz="1100" b="0" i="0" baseline="0">
              <a:solidFill>
                <a:schemeClr val="dk1"/>
              </a:solidFill>
              <a:effectLst/>
              <a:latin typeface="+mn-lt"/>
              <a:ea typeface="+mn-ea"/>
              <a:cs typeface="+mn-cs"/>
            </a:rPr>
            <a:t>ОС </a:t>
          </a:r>
          <a:r>
            <a:rPr lang="en-US" sz="1100" b="0" i="0" baseline="0">
              <a:solidFill>
                <a:schemeClr val="dk1"/>
              </a:solidFill>
              <a:effectLst/>
              <a:latin typeface="+mn-lt"/>
              <a:ea typeface="+mn-ea"/>
              <a:cs typeface="+mn-cs"/>
            </a:rPr>
            <a:t>Kaspersky Thin Client)</a:t>
          </a:r>
          <a:r>
            <a:rPr lang="ru-RU" sz="1100" b="0" i="0" baseline="0">
              <a:solidFill>
                <a:schemeClr val="dk1"/>
              </a:solidFill>
              <a:effectLst/>
              <a:latin typeface="+mn-lt"/>
              <a:ea typeface="+mn-ea"/>
              <a:cs typeface="+mn-cs"/>
            </a:rPr>
            <a:t>.</a:t>
          </a:r>
          <a:endParaRPr lang="ru-RU" sz="1100">
            <a:effectLst/>
          </a:endParaRPr>
        </a:p>
        <a:p>
          <a:pPr marL="171450" indent="-171450" algn="l" eaLnBrk="1" fontAlgn="auto" latinLnBrk="0" hangingPunct="1">
            <a:spcBef>
              <a:spcPts val="600"/>
            </a:spcBef>
            <a:buFont typeface="Wingdings" panose="05000000000000000000" pitchFamily="2" charset="2"/>
            <a:buChar char="v"/>
          </a:pPr>
          <a:r>
            <a:rPr lang="ru-RU" sz="1100" b="1" i="0" u="none" strike="noStrike" baseline="0">
              <a:solidFill>
                <a:schemeClr val="dk1"/>
              </a:solidFill>
              <a:latin typeface="+mn-lt"/>
              <a:ea typeface="+mn-ea"/>
              <a:cs typeface="Arial" panose="020B0604020202020204" pitchFamily="34" charset="0"/>
            </a:rPr>
            <a:t>Администрирование СДЗ осуществляется без использования ресурсов загружаемой штатной ОС</a:t>
          </a:r>
          <a:r>
            <a:rPr lang="ru-RU" sz="1100" b="0" i="0" u="none" strike="noStrike" baseline="0">
              <a:solidFill>
                <a:schemeClr val="dk1"/>
              </a:solidFill>
              <a:latin typeface="+mn-lt"/>
              <a:ea typeface="+mn-ea"/>
              <a:cs typeface="Arial" panose="020B0604020202020204" pitchFamily="34" charset="0"/>
            </a:rPr>
            <a:t>,</a:t>
          </a:r>
          <a:r>
            <a:rPr lang="en-US" sz="1100" b="0" i="0" u="none" strike="noStrike" baseline="0">
              <a:solidFill>
                <a:schemeClr val="dk1"/>
              </a:solidFill>
              <a:latin typeface="+mn-lt"/>
              <a:ea typeface="+mn-ea"/>
              <a:cs typeface="Arial" panose="020B0604020202020204" pitchFamily="34" charset="0"/>
            </a:rPr>
            <a:t>                   </a:t>
          </a:r>
          <a:r>
            <a:rPr lang="ru-RU" sz="1100" b="0" i="0" u="none" strike="noStrike" baseline="0">
              <a:solidFill>
                <a:schemeClr val="dk1"/>
              </a:solidFill>
              <a:latin typeface="+mn-lt"/>
              <a:ea typeface="+mn-ea"/>
              <a:cs typeface="Arial" panose="020B0604020202020204" pitchFamily="34" charset="0"/>
            </a:rPr>
            <a:t> что соответствует требованиям ФСТЭК России к средствам доверенной загрузки.</a:t>
          </a:r>
        </a:p>
        <a:p>
          <a:pPr marL="171450" indent="-171450" algn="l" rtl="0" eaLnBrk="1" fontAlgn="auto" latinLnBrk="0" hangingPunct="1">
            <a:spcBef>
              <a:spcPts val="600"/>
            </a:spcBef>
            <a:buFont typeface="Wingdings" panose="05000000000000000000" pitchFamily="2" charset="2"/>
            <a:buChar char="v"/>
          </a:pPr>
          <a:r>
            <a:rPr lang="ru-RU" sz="1100" b="1" i="0" u="none" strike="noStrike" baseline="0">
              <a:solidFill>
                <a:schemeClr val="dk1"/>
              </a:solidFill>
              <a:latin typeface="+mn-lt"/>
              <a:ea typeface="+mn-ea"/>
              <a:cs typeface="Arial" panose="020B0604020202020204" pitchFamily="34" charset="0"/>
            </a:rPr>
            <a:t>Осуществение контроля целостности программно-аппаратной среды.</a:t>
          </a:r>
        </a:p>
        <a:p>
          <a:pPr marL="171450" marR="0" lvl="0" indent="-171450" algn="l" defTabSz="914400" rtl="0" eaLnBrk="1" fontAlgn="auto" latinLnBrk="0" hangingPunct="1">
            <a:lnSpc>
              <a:spcPct val="100000"/>
            </a:lnSpc>
            <a:spcBef>
              <a:spcPts val="600"/>
            </a:spcBef>
            <a:spcAft>
              <a:spcPts val="0"/>
            </a:spcAft>
            <a:buClrTx/>
            <a:buSzTx/>
            <a:buFont typeface="Wingdings" panose="05000000000000000000" pitchFamily="2" charset="2"/>
            <a:buChar char="v"/>
            <a:tabLst/>
            <a:defRPr/>
          </a:pPr>
          <a:r>
            <a:rPr lang="ru-RU" sz="1100" b="1" i="0" baseline="0">
              <a:solidFill>
                <a:schemeClr val="dk1"/>
              </a:solidFill>
              <a:effectLst/>
              <a:latin typeface="+mn-lt"/>
              <a:ea typeface="+mn-ea"/>
              <a:cs typeface="+mn-cs"/>
            </a:rPr>
            <a:t>Поддержка </a:t>
          </a:r>
          <a:r>
            <a:rPr lang="ru-RU" sz="1100" b="0" i="0" baseline="0">
              <a:solidFill>
                <a:schemeClr val="dk1"/>
              </a:solidFill>
              <a:effectLst/>
              <a:latin typeface="+mn-lt"/>
              <a:ea typeface="+mn-ea"/>
              <a:cs typeface="+mn-cs"/>
            </a:rPr>
            <a:t>аппаратного датчика вскрытия корпуса, сторожевого таймера, часов реального времени, </a:t>
          </a:r>
          <a:r>
            <a:rPr lang="en-US" sz="1100" b="0" i="0" baseline="0">
              <a:solidFill>
                <a:schemeClr val="dk1"/>
              </a:solidFill>
              <a:effectLst/>
              <a:latin typeface="+mn-lt"/>
              <a:ea typeface="+mn-ea"/>
              <a:cs typeface="+mn-cs"/>
            </a:rPr>
            <a:t>   </a:t>
          </a:r>
          <a:r>
            <a:rPr lang="ru-RU" sz="1100" b="0" i="0" baseline="0">
              <a:solidFill>
                <a:schemeClr val="dk1"/>
              </a:solidFill>
              <a:effectLst/>
              <a:latin typeface="+mn-lt"/>
              <a:ea typeface="+mn-ea"/>
              <a:cs typeface="+mn-cs"/>
            </a:rPr>
            <a:t>датчика случайных чисел.</a:t>
          </a:r>
          <a:endParaRPr lang="ru-RU" sz="1100" b="1" i="0" u="none" strike="noStrike" baseline="0">
            <a:solidFill>
              <a:schemeClr val="dk1"/>
            </a:solidFill>
            <a:latin typeface="+mn-lt"/>
            <a:ea typeface="+mn-ea"/>
            <a:cs typeface="Arial" panose="020B0604020202020204" pitchFamily="34" charset="0"/>
          </a:endParaRPr>
        </a:p>
        <a:p>
          <a:pPr marL="171450" indent="-171450" algn="l" rtl="0" eaLnBrk="1" fontAlgn="auto" latinLnBrk="0" hangingPunct="1">
            <a:spcBef>
              <a:spcPts val="600"/>
            </a:spcBef>
            <a:buFont typeface="Wingdings" panose="05000000000000000000" pitchFamily="2" charset="2"/>
            <a:buChar char="v"/>
          </a:pPr>
          <a:r>
            <a:rPr lang="ru-RU" sz="1100" b="1" i="0" u="none" strike="noStrike" baseline="0">
              <a:solidFill>
                <a:schemeClr val="dk1"/>
              </a:solidFill>
              <a:latin typeface="+mn-lt"/>
              <a:ea typeface="+mn-ea"/>
              <a:cs typeface="Arial" panose="020B0604020202020204" pitchFamily="34" charset="0"/>
            </a:rPr>
            <a:t>Поддержка широкого с</a:t>
          </a:r>
          <a:r>
            <a:rPr lang="ru-RU" sz="1100" b="1" i="0" baseline="0">
              <a:solidFill>
                <a:schemeClr val="dk1"/>
              </a:solidFill>
              <a:effectLst/>
              <a:latin typeface="+mn-lt"/>
              <a:ea typeface="+mn-ea"/>
              <a:cs typeface="+mn-cs"/>
            </a:rPr>
            <a:t>пектра аппаратных идентификаторов</a:t>
          </a:r>
          <a:r>
            <a:rPr lang="ru-RU" sz="1100" b="0" i="0" baseline="0">
              <a:solidFill>
                <a:schemeClr val="dk1"/>
              </a:solidFill>
              <a:effectLst/>
              <a:latin typeface="+mn-lt"/>
              <a:ea typeface="+mn-ea"/>
              <a:cs typeface="+mn-cs"/>
            </a:rPr>
            <a:t>:</a:t>
          </a:r>
        </a:p>
        <a:p>
          <a:pPr marL="628650" lvl="1" indent="-171450" eaLnBrk="1" fontAlgn="auto" latinLnBrk="0" hangingPunct="1">
            <a:spcBef>
              <a:spcPts val="600"/>
            </a:spcBef>
            <a:buFont typeface="Courier New" panose="02070309020205020404" pitchFamily="49" charset="0"/>
            <a:buChar char="o"/>
          </a:pPr>
          <a:r>
            <a:rPr lang="en-US" sz="1100">
              <a:solidFill>
                <a:schemeClr val="dk1"/>
              </a:solidFill>
              <a:effectLst/>
              <a:latin typeface="+mn-lt"/>
              <a:ea typeface="+mn-ea"/>
              <a:cs typeface="+mn-cs"/>
            </a:rPr>
            <a:t>USB-</a:t>
          </a:r>
          <a:r>
            <a:rPr lang="ru-RU" sz="1100">
              <a:solidFill>
                <a:schemeClr val="dk1"/>
              </a:solidFill>
              <a:effectLst/>
              <a:latin typeface="+mn-lt"/>
              <a:ea typeface="+mn-ea"/>
              <a:cs typeface="+mn-cs"/>
            </a:rPr>
            <a:t>ключи и смарт-карты </a:t>
          </a:r>
          <a:r>
            <a:rPr lang="en-US" sz="1100">
              <a:solidFill>
                <a:schemeClr val="dk1"/>
              </a:solidFill>
              <a:effectLst/>
              <a:latin typeface="+mn-lt"/>
              <a:ea typeface="+mn-ea"/>
              <a:cs typeface="+mn-cs"/>
            </a:rPr>
            <a:t>Aladdin eToken Pro/Java</a:t>
          </a:r>
          <a:endParaRPr lang="ru-RU">
            <a:effectLst/>
          </a:endParaRPr>
        </a:p>
        <a:p>
          <a:pPr marL="628650" lvl="1" indent="-171450" eaLnBrk="1" fontAlgn="auto" latinLnBrk="0" hangingPunct="1">
            <a:spcBef>
              <a:spcPts val="600"/>
            </a:spcBef>
            <a:buFont typeface="Courier New" panose="02070309020205020404" pitchFamily="49" charset="0"/>
            <a:buChar char="o"/>
          </a:pPr>
          <a:r>
            <a:rPr lang="en-US" sz="1100">
              <a:solidFill>
                <a:schemeClr val="dk1"/>
              </a:solidFill>
              <a:effectLst/>
              <a:latin typeface="+mn-lt"/>
              <a:ea typeface="+mn-ea"/>
              <a:cs typeface="+mn-cs"/>
            </a:rPr>
            <a:t>USB-</a:t>
          </a:r>
          <a:r>
            <a:rPr lang="ru-RU" sz="1100">
              <a:solidFill>
                <a:schemeClr val="dk1"/>
              </a:solidFill>
              <a:effectLst/>
              <a:latin typeface="+mn-lt"/>
              <a:ea typeface="+mn-ea"/>
              <a:cs typeface="+mn-cs"/>
            </a:rPr>
            <a:t>ключи и смарт-карты Рутокен </a:t>
          </a:r>
          <a:endParaRPr lang="ru-RU">
            <a:effectLst/>
          </a:endParaRPr>
        </a:p>
        <a:p>
          <a:pPr marL="628650" lvl="1" indent="-171450" eaLnBrk="1" fontAlgn="auto" latinLnBrk="0" hangingPunct="1">
            <a:spcBef>
              <a:spcPts val="600"/>
            </a:spcBef>
            <a:buFont typeface="Courier New" panose="02070309020205020404" pitchFamily="49" charset="0"/>
            <a:buChar char="o"/>
          </a:pPr>
          <a:r>
            <a:rPr lang="ru-RU" sz="1100">
              <a:solidFill>
                <a:schemeClr val="dk1"/>
              </a:solidFill>
              <a:effectLst/>
              <a:latin typeface="+mn-lt"/>
              <a:ea typeface="+mn-ea"/>
              <a:cs typeface="+mn-cs"/>
            </a:rPr>
            <a:t>электронные ключи </a:t>
          </a:r>
          <a:r>
            <a:rPr lang="en-US" sz="1100">
              <a:solidFill>
                <a:schemeClr val="dk1"/>
              </a:solidFill>
              <a:effectLst/>
              <a:latin typeface="+mn-lt"/>
              <a:ea typeface="+mn-ea"/>
              <a:cs typeface="+mn-cs"/>
            </a:rPr>
            <a:t>Touch Memory (iButton)</a:t>
          </a:r>
          <a:endParaRPr lang="ru-RU">
            <a:effectLst/>
          </a:endParaRPr>
        </a:p>
      </xdr:txBody>
    </xdr:sp>
    <xdr:clientData/>
  </xdr:twoCellAnchor>
  <xdr:twoCellAnchor>
    <xdr:from>
      <xdr:col>4</xdr:col>
      <xdr:colOff>543984</xdr:colOff>
      <xdr:row>6</xdr:row>
      <xdr:rowOff>4952394</xdr:rowOff>
    </xdr:from>
    <xdr:to>
      <xdr:col>10</xdr:col>
      <xdr:colOff>315384</xdr:colOff>
      <xdr:row>7</xdr:row>
      <xdr:rowOff>651934</xdr:rowOff>
    </xdr:to>
    <xdr:sp macro="" textlink="">
      <xdr:nvSpPr>
        <xdr:cNvPr id="118" name="TextBox 117">
          <a:extLst>
            <a:ext uri="{FF2B5EF4-FFF2-40B4-BE49-F238E27FC236}">
              <a16:creationId xmlns:a16="http://schemas.microsoft.com/office/drawing/2014/main" xmlns="" id="{00000000-0008-0000-0D00-000076000000}"/>
            </a:ext>
          </a:extLst>
        </xdr:cNvPr>
        <xdr:cNvSpPr txBox="1"/>
      </xdr:nvSpPr>
      <xdr:spPr>
        <a:xfrm>
          <a:off x="4192059" y="11162694"/>
          <a:ext cx="3429000" cy="90019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628650" lvl="1" indent="-171450" eaLnBrk="1" fontAlgn="auto" latinLnBrk="0" hangingPunct="1">
            <a:spcBef>
              <a:spcPts val="600"/>
            </a:spcBef>
            <a:buFont typeface="Courier New" panose="02070309020205020404" pitchFamily="49" charset="0"/>
            <a:buChar char="o"/>
          </a:pPr>
          <a:r>
            <a:rPr lang="en-US" sz="1100">
              <a:solidFill>
                <a:schemeClr val="dk1"/>
              </a:solidFill>
              <a:effectLst/>
              <a:latin typeface="+mn-lt"/>
              <a:ea typeface="+mn-ea"/>
              <a:cs typeface="+mn-cs"/>
            </a:rPr>
            <a:t>USB-</a:t>
          </a:r>
          <a:r>
            <a:rPr lang="ru-RU" sz="1100">
              <a:solidFill>
                <a:schemeClr val="dk1"/>
              </a:solidFill>
              <a:effectLst/>
              <a:latin typeface="+mn-lt"/>
              <a:ea typeface="+mn-ea"/>
              <a:cs typeface="+mn-cs"/>
            </a:rPr>
            <a:t>ключи и смарт-карты </a:t>
          </a:r>
          <a:r>
            <a:rPr lang="en-US" sz="1100">
              <a:solidFill>
                <a:schemeClr val="dk1"/>
              </a:solidFill>
              <a:effectLst/>
              <a:latin typeface="+mn-lt"/>
              <a:ea typeface="+mn-ea"/>
              <a:cs typeface="+mn-cs"/>
            </a:rPr>
            <a:t>ESMART </a:t>
          </a:r>
          <a:endParaRPr lang="ru-RU" sz="1100">
            <a:solidFill>
              <a:schemeClr val="dk1"/>
            </a:solidFill>
            <a:effectLst/>
            <a:latin typeface="+mn-lt"/>
            <a:ea typeface="+mn-ea"/>
            <a:cs typeface="+mn-cs"/>
          </a:endParaRPr>
        </a:p>
        <a:p>
          <a:pPr marL="628650" lvl="1" indent="-171450" eaLnBrk="1" fontAlgn="auto" latinLnBrk="0" hangingPunct="1">
            <a:spcBef>
              <a:spcPts val="600"/>
            </a:spcBef>
            <a:buFont typeface="Courier New" panose="02070309020205020404" pitchFamily="49" charset="0"/>
            <a:buChar char="o"/>
          </a:pPr>
          <a:r>
            <a:rPr lang="en-US" sz="1100">
              <a:solidFill>
                <a:schemeClr val="dk1"/>
              </a:solidFill>
              <a:effectLst/>
              <a:latin typeface="+mn-lt"/>
              <a:ea typeface="+mn-ea"/>
              <a:cs typeface="+mn-cs"/>
            </a:rPr>
            <a:t>USB-</a:t>
          </a:r>
          <a:r>
            <a:rPr lang="ru-RU" sz="1100">
              <a:solidFill>
                <a:schemeClr val="dk1"/>
              </a:solidFill>
              <a:effectLst/>
              <a:latin typeface="+mn-lt"/>
              <a:ea typeface="+mn-ea"/>
              <a:cs typeface="+mn-cs"/>
            </a:rPr>
            <a:t>ключи и смарт- карты </a:t>
          </a:r>
          <a:r>
            <a:rPr lang="en-US" sz="1100">
              <a:solidFill>
                <a:schemeClr val="dk1"/>
              </a:solidFill>
              <a:effectLst/>
              <a:latin typeface="+mn-lt"/>
              <a:ea typeface="+mn-ea"/>
              <a:cs typeface="+mn-cs"/>
            </a:rPr>
            <a:t>JaCarta </a:t>
          </a:r>
          <a:endParaRPr lang="ru-RU" sz="1100">
            <a:solidFill>
              <a:schemeClr val="dk1"/>
            </a:solidFill>
            <a:effectLst/>
            <a:latin typeface="+mn-lt"/>
            <a:ea typeface="+mn-ea"/>
            <a:cs typeface="+mn-cs"/>
          </a:endParaRPr>
        </a:p>
        <a:p>
          <a:pPr marL="628650" lvl="1" indent="-171450" eaLnBrk="1" fontAlgn="auto" latinLnBrk="0" hangingPunct="1">
            <a:spcBef>
              <a:spcPts val="600"/>
            </a:spcBef>
            <a:buFont typeface="Courier New" panose="02070309020205020404" pitchFamily="49" charset="0"/>
            <a:buChar char="o"/>
          </a:pPr>
          <a:r>
            <a:rPr lang="en-US" sz="1100">
              <a:solidFill>
                <a:schemeClr val="dk1"/>
              </a:solidFill>
              <a:effectLst/>
              <a:latin typeface="+mn-lt"/>
              <a:ea typeface="+mn-ea"/>
              <a:cs typeface="+mn-cs"/>
            </a:rPr>
            <a:t>USB-</a:t>
          </a:r>
          <a:r>
            <a:rPr lang="ru-RU" sz="1100">
              <a:solidFill>
                <a:schemeClr val="dk1"/>
              </a:solidFill>
              <a:effectLst/>
              <a:latin typeface="+mn-lt"/>
              <a:ea typeface="+mn-ea"/>
              <a:cs typeface="+mn-cs"/>
            </a:rPr>
            <a:t>ключи </a:t>
          </a:r>
          <a:r>
            <a:rPr lang="en-US" sz="1100">
              <a:solidFill>
                <a:schemeClr val="dk1"/>
              </a:solidFill>
              <a:effectLst/>
              <a:latin typeface="+mn-lt"/>
              <a:ea typeface="+mn-ea"/>
              <a:cs typeface="+mn-cs"/>
            </a:rPr>
            <a:t>Guardant ID 2.0</a:t>
          </a:r>
        </a:p>
      </xdr:txBody>
    </xdr:sp>
    <xdr:clientData/>
  </xdr:twoCellAnchor>
  <xdr:twoCellAnchor>
    <xdr:from>
      <xdr:col>10</xdr:col>
      <xdr:colOff>396627</xdr:colOff>
      <xdr:row>6</xdr:row>
      <xdr:rowOff>2983321</xdr:rowOff>
    </xdr:from>
    <xdr:to>
      <xdr:col>16</xdr:col>
      <xdr:colOff>110067</xdr:colOff>
      <xdr:row>6</xdr:row>
      <xdr:rowOff>4615270</xdr:rowOff>
    </xdr:to>
    <xdr:sp macro="" textlink="">
      <xdr:nvSpPr>
        <xdr:cNvPr id="103" name="TextBox 102">
          <a:extLst>
            <a:ext uri="{FF2B5EF4-FFF2-40B4-BE49-F238E27FC236}">
              <a16:creationId xmlns:a16="http://schemas.microsoft.com/office/drawing/2014/main" xmlns="" id="{00000000-0008-0000-0D00-000067000000}"/>
            </a:ext>
          </a:extLst>
        </xdr:cNvPr>
        <xdr:cNvSpPr txBox="1"/>
      </xdr:nvSpPr>
      <xdr:spPr>
        <a:xfrm>
          <a:off x="7906560" y="9172454"/>
          <a:ext cx="3472640" cy="16319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ru-RU" sz="1100" b="1">
              <a:solidFill>
                <a:schemeClr val="dk1"/>
              </a:solidFill>
              <a:effectLst/>
              <a:latin typeface="+mn-lt"/>
              <a:ea typeface="+mn-ea"/>
              <a:cs typeface="+mn-cs"/>
            </a:rPr>
            <a:t>Решение уровня базовой системы ввода-вывода (</a:t>
          </a:r>
          <a:r>
            <a:rPr lang="ru-RU" sz="1100" b="0" i="0">
              <a:solidFill>
                <a:schemeClr val="dk1"/>
              </a:solidFill>
              <a:effectLst/>
              <a:latin typeface="+mn-lt"/>
              <a:ea typeface="+mn-ea"/>
              <a:cs typeface="+mn-cs"/>
            </a:rPr>
            <a:t>ИТ.СДЗ.УБ2.ПЗ</a:t>
          </a:r>
          <a:r>
            <a:rPr lang="ru-RU" sz="1100" b="1">
              <a:solidFill>
                <a:schemeClr val="dk1"/>
              </a:solidFill>
              <a:effectLst/>
              <a:latin typeface="+mn-lt"/>
              <a:ea typeface="+mn-ea"/>
              <a:cs typeface="+mn-cs"/>
            </a:rPr>
            <a:t>)</a:t>
          </a:r>
        </a:p>
        <a:p>
          <a:pPr marL="0" marR="0" lvl="0" indent="0" defTabSz="914400" rtl="0" eaLnBrk="1" fontAlgn="auto" latinLnBrk="0" hangingPunct="1">
            <a:lnSpc>
              <a:spcPct val="100000"/>
            </a:lnSpc>
            <a:spcBef>
              <a:spcPts val="0"/>
            </a:spcBef>
            <a:spcAft>
              <a:spcPts val="0"/>
            </a:spcAft>
            <a:buClrTx/>
            <a:buSzTx/>
            <a:buFontTx/>
            <a:buNone/>
            <a:tabLst/>
            <a:defRPr/>
          </a:pPr>
          <a:r>
            <a:rPr lang="ru-RU" sz="1100">
              <a:solidFill>
                <a:schemeClr val="dk1"/>
              </a:solidFill>
              <a:effectLst/>
              <a:latin typeface="+mn-lt"/>
              <a:ea typeface="+mn-ea"/>
              <a:cs typeface="+mn-cs"/>
            </a:rPr>
            <a:t>Это программно-техническое средство, которое встраивается в базовую систему ввода-вывода и</a:t>
          </a:r>
          <a:r>
            <a:rPr lang="ru-RU" sz="1100" baseline="0">
              <a:solidFill>
                <a:schemeClr val="dk1"/>
              </a:solidFill>
              <a:effectLst/>
              <a:latin typeface="+mn-lt"/>
              <a:ea typeface="+mn-ea"/>
              <a:cs typeface="+mn-cs"/>
            </a:rPr>
            <a:t> поставляется в виде </a:t>
          </a:r>
          <a:r>
            <a:rPr lang="en-US"/>
            <a:t>USB-flash</a:t>
          </a:r>
          <a:r>
            <a:rPr lang="ru-RU"/>
            <a:t>-накопителя.</a:t>
          </a:r>
          <a:br>
            <a:rPr lang="ru-RU"/>
          </a:br>
          <a:r>
            <a:rPr lang="ru-RU" sz="1100" b="1" i="0">
              <a:solidFill>
                <a:schemeClr val="dk1"/>
              </a:solidFill>
              <a:effectLst/>
              <a:latin typeface="+mn-lt"/>
              <a:ea typeface="+mn-ea"/>
              <a:cs typeface="+mn-cs"/>
            </a:rPr>
            <a:t>Сертификат ФСТЭК России № 4786</a:t>
          </a:r>
          <a:r>
            <a:rPr lang="ru-RU" sz="1100" b="0" i="0">
              <a:solidFill>
                <a:schemeClr val="dk1"/>
              </a:solidFill>
              <a:effectLst/>
              <a:latin typeface="+mn-lt"/>
              <a:ea typeface="+mn-ea"/>
              <a:cs typeface="+mn-cs"/>
            </a:rPr>
            <a:t> от 13</a:t>
          </a:r>
          <a:r>
            <a:rPr lang="en-US" sz="1100" b="0" i="0" baseline="0">
              <a:solidFill>
                <a:schemeClr val="dk1"/>
              </a:solidFill>
              <a:effectLst/>
              <a:latin typeface="+mn-lt"/>
              <a:ea typeface="+mn-ea"/>
              <a:cs typeface="+mn-cs"/>
            </a:rPr>
            <a:t> </a:t>
          </a:r>
          <a:r>
            <a:rPr lang="ru-RU" sz="1100" b="0" i="0" baseline="0">
              <a:solidFill>
                <a:schemeClr val="dk1"/>
              </a:solidFill>
              <a:effectLst/>
              <a:latin typeface="+mn-lt"/>
              <a:ea typeface="+mn-ea"/>
              <a:cs typeface="+mn-cs"/>
            </a:rPr>
            <a:t>марта</a:t>
          </a:r>
          <a:r>
            <a:rPr lang="ru-RU" sz="1100" b="0" i="0">
              <a:solidFill>
                <a:schemeClr val="dk1"/>
              </a:solidFill>
              <a:effectLst/>
              <a:latin typeface="+mn-lt"/>
              <a:ea typeface="+mn-ea"/>
              <a:cs typeface="+mn-cs"/>
            </a:rPr>
            <a:t> 2024 г.</a:t>
          </a:r>
          <a:endParaRPr lang="ru-RU">
            <a:effectLst/>
          </a:endParaRPr>
        </a:p>
      </xdr:txBody>
    </xdr:sp>
    <xdr:clientData/>
  </xdr:twoCellAnchor>
  <xdr:oneCellAnchor>
    <xdr:from>
      <xdr:col>8</xdr:col>
      <xdr:colOff>430493</xdr:colOff>
      <xdr:row>6</xdr:row>
      <xdr:rowOff>2636187</xdr:rowOff>
    </xdr:from>
    <xdr:ext cx="1597308" cy="1588579"/>
    <xdr:pic>
      <xdr:nvPicPr>
        <xdr:cNvPr id="120" name="Рисунок 119">
          <a:extLst>
            <a:ext uri="{FF2B5EF4-FFF2-40B4-BE49-F238E27FC236}">
              <a16:creationId xmlns:a16="http://schemas.microsoft.com/office/drawing/2014/main" xmlns="" id="{00000000-0008-0000-0D00-000078000000}"/>
            </a:ext>
          </a:extLst>
        </xdr:cNvPr>
        <xdr:cNvPicPr>
          <a:picLocks noChangeAspect="1"/>
        </xdr:cNvPicPr>
      </xdr:nvPicPr>
      <xdr:blipFill>
        <a:blip xmlns:r="http://schemas.openxmlformats.org/officeDocument/2006/relationships" r:embed="rId55" cstate="print">
          <a:extLst>
            <a:ext uri="{28A0092B-C50C-407E-A947-70E740481C1C}">
              <a14:useLocalDpi xmlns:a14="http://schemas.microsoft.com/office/drawing/2010/main" val="0"/>
            </a:ext>
          </a:extLst>
        </a:blip>
        <a:stretch>
          <a:fillRect/>
        </a:stretch>
      </xdr:blipFill>
      <xdr:spPr>
        <a:xfrm>
          <a:off x="6687360" y="8825320"/>
          <a:ext cx="1597308" cy="1588579"/>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xdr:from>
      <xdr:col>1</xdr:col>
      <xdr:colOff>133350</xdr:colOff>
      <xdr:row>9</xdr:row>
      <xdr:rowOff>19050</xdr:rowOff>
    </xdr:from>
    <xdr:to>
      <xdr:col>1</xdr:col>
      <xdr:colOff>142875</xdr:colOff>
      <xdr:row>10</xdr:row>
      <xdr:rowOff>0</xdr:rowOff>
    </xdr:to>
    <xdr:cxnSp macro="">
      <xdr:nvCxnSpPr>
        <xdr:cNvPr id="17" name="Прямая соединительная линия 16">
          <a:extLst>
            <a:ext uri="{FF2B5EF4-FFF2-40B4-BE49-F238E27FC236}">
              <a16:creationId xmlns:a16="http://schemas.microsoft.com/office/drawing/2014/main" xmlns="" id="{00000000-0008-0000-0100-000011000000}"/>
            </a:ext>
          </a:extLst>
        </xdr:cNvPr>
        <xdr:cNvCxnSpPr/>
      </xdr:nvCxnSpPr>
      <xdr:spPr>
        <a:xfrm>
          <a:off x="219075" y="3381375"/>
          <a:ext cx="9525" cy="657225"/>
        </a:xfrm>
        <a:prstGeom prst="line">
          <a:avLst/>
        </a:prstGeom>
        <a:ln w="19050">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7620</xdr:colOff>
      <xdr:row>2</xdr:row>
      <xdr:rowOff>7619</xdr:rowOff>
    </xdr:from>
    <xdr:to>
      <xdr:col>12</xdr:col>
      <xdr:colOff>63650</xdr:colOff>
      <xdr:row>3</xdr:row>
      <xdr:rowOff>18826</xdr:rowOff>
    </xdr:to>
    <xdr:sp macro="" textlink="">
      <xdr:nvSpPr>
        <xdr:cNvPr id="2" name="Прямоугольник 1">
          <a:hlinkClick xmlns:r="http://schemas.openxmlformats.org/officeDocument/2006/relationships" r:id="rId1"/>
          <a:extLst>
            <a:ext uri="{FF2B5EF4-FFF2-40B4-BE49-F238E27FC236}">
              <a16:creationId xmlns:a16="http://schemas.microsoft.com/office/drawing/2014/main" xmlns="" id="{00000000-0008-0000-0100-000002000000}"/>
            </a:ext>
          </a:extLst>
        </xdr:cNvPr>
        <xdr:cNvSpPr/>
      </xdr:nvSpPr>
      <xdr:spPr>
        <a:xfrm>
          <a:off x="7620" y="1283969"/>
          <a:ext cx="12419480" cy="38268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editAs="oneCell">
    <xdr:from>
      <xdr:col>3</xdr:col>
      <xdr:colOff>494181</xdr:colOff>
      <xdr:row>2</xdr:row>
      <xdr:rowOff>123971</xdr:rowOff>
    </xdr:from>
    <xdr:to>
      <xdr:col>3</xdr:col>
      <xdr:colOff>679940</xdr:colOff>
      <xdr:row>2</xdr:row>
      <xdr:rowOff>309730</xdr:rowOff>
    </xdr:to>
    <xdr:pic>
      <xdr:nvPicPr>
        <xdr:cNvPr id="3" name="Рисунок 2">
          <a:extLst>
            <a:ext uri="{FF2B5EF4-FFF2-40B4-BE49-F238E27FC236}">
              <a16:creationId xmlns:a16="http://schemas.microsoft.com/office/drawing/2014/main" xmlns="" id="{00000000-0008-0000-0100-000003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6523506" y="1400321"/>
          <a:ext cx="185759" cy="185759"/>
        </a:xfrm>
        <a:prstGeom prst="rect">
          <a:avLst/>
        </a:prstGeom>
      </xdr:spPr>
    </xdr:pic>
    <xdr:clientData/>
  </xdr:twoCellAnchor>
  <xdr:twoCellAnchor editAs="oneCell">
    <xdr:from>
      <xdr:col>0</xdr:col>
      <xdr:colOff>13606</xdr:colOff>
      <xdr:row>0</xdr:row>
      <xdr:rowOff>13607</xdr:rowOff>
    </xdr:from>
    <xdr:to>
      <xdr:col>13</xdr:col>
      <xdr:colOff>9525</xdr:colOff>
      <xdr:row>2</xdr:row>
      <xdr:rowOff>6981</xdr:rowOff>
    </xdr:to>
    <xdr:pic>
      <xdr:nvPicPr>
        <xdr:cNvPr id="4" name="Рисунок 3">
          <a:hlinkClick xmlns:r="http://schemas.openxmlformats.org/officeDocument/2006/relationships" r:id="rId3"/>
          <a:extLst>
            <a:ext uri="{FF2B5EF4-FFF2-40B4-BE49-F238E27FC236}">
              <a16:creationId xmlns:a16="http://schemas.microsoft.com/office/drawing/2014/main" xmlns="" id="{00000000-0008-0000-0100-000004000000}"/>
            </a:ext>
          </a:extLst>
        </xdr:cNvPr>
        <xdr:cNvPicPr>
          <a:picLocks noChangeAspect="1"/>
        </xdr:cNvPicPr>
      </xdr:nvPicPr>
      <xdr:blipFill>
        <a:blip xmlns:r="http://schemas.openxmlformats.org/officeDocument/2006/relationships" r:embed="rId4"/>
        <a:stretch>
          <a:fillRect/>
        </a:stretch>
      </xdr:blipFill>
      <xdr:spPr>
        <a:xfrm>
          <a:off x="13606" y="13607"/>
          <a:ext cx="13045169" cy="1269724"/>
        </a:xfrm>
        <a:prstGeom prst="rect">
          <a:avLst/>
        </a:prstGeom>
      </xdr:spPr>
    </xdr:pic>
    <xdr:clientData/>
  </xdr:twoCellAnchor>
  <xdr:twoCellAnchor>
    <xdr:from>
      <xdr:col>1</xdr:col>
      <xdr:colOff>26194</xdr:colOff>
      <xdr:row>19</xdr:row>
      <xdr:rowOff>180974</xdr:rowOff>
    </xdr:from>
    <xdr:to>
      <xdr:col>3</xdr:col>
      <xdr:colOff>359568</xdr:colOff>
      <xdr:row>38</xdr:row>
      <xdr:rowOff>123825</xdr:rowOff>
    </xdr:to>
    <xdr:sp macro="" textlink="">
      <xdr:nvSpPr>
        <xdr:cNvPr id="5" name="TextBox 4">
          <a:extLst>
            <a:ext uri="{FF2B5EF4-FFF2-40B4-BE49-F238E27FC236}">
              <a16:creationId xmlns:a16="http://schemas.microsoft.com/office/drawing/2014/main" xmlns="" id="{00000000-0008-0000-0100-000005000000}"/>
            </a:ext>
          </a:extLst>
        </xdr:cNvPr>
        <xdr:cNvSpPr txBox="1"/>
      </xdr:nvSpPr>
      <xdr:spPr>
        <a:xfrm>
          <a:off x="111919" y="7381874"/>
          <a:ext cx="6877049" cy="80105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ru-RU" sz="1100" b="1" i="0" baseline="0">
              <a:solidFill>
                <a:schemeClr val="dk1"/>
              </a:solidFill>
              <a:effectLst/>
              <a:latin typeface="+mn-lt"/>
              <a:ea typeface="+mn-ea"/>
              <a:cs typeface="+mn-cs"/>
            </a:rPr>
            <a:t>СЗИ ВИ </a:t>
          </a:r>
          <a:r>
            <a:rPr lang="en-US" sz="1100" b="1" i="0" baseline="0">
              <a:solidFill>
                <a:schemeClr val="dk1"/>
              </a:solidFill>
              <a:effectLst/>
              <a:latin typeface="+mn-lt"/>
              <a:ea typeface="+mn-ea"/>
              <a:cs typeface="+mn-cs"/>
            </a:rPr>
            <a:t>Dallas Lock</a:t>
          </a:r>
          <a:r>
            <a:rPr lang="ru-RU" sz="1100" b="1" i="0" baseline="0">
              <a:solidFill>
                <a:schemeClr val="dk1"/>
              </a:solidFill>
              <a:effectLst/>
              <a:latin typeface="+mn-lt"/>
              <a:ea typeface="+mn-ea"/>
              <a:cs typeface="+mn-cs"/>
            </a:rPr>
            <a:t>. Право на использование</a:t>
          </a:r>
          <a:endParaRPr lang="ru-RU">
            <a:effectLst/>
          </a:endParaRPr>
        </a:p>
        <a:p>
          <a:pPr algn="l"/>
          <a:r>
            <a:rPr lang="ru-RU" sz="1100" b="0" i="0" baseline="0">
              <a:solidFill>
                <a:schemeClr val="dk1"/>
              </a:solidFill>
              <a:effectLst/>
              <a:latin typeface="+mn-lt"/>
              <a:ea typeface="+mn-ea"/>
              <a:cs typeface="+mn-cs"/>
            </a:rPr>
            <a:t>СЗИ ВИ </a:t>
          </a:r>
          <a:r>
            <a:rPr lang="en-US" sz="1100" b="0" i="0" baseline="0">
              <a:solidFill>
                <a:schemeClr val="dk1"/>
              </a:solidFill>
              <a:effectLst/>
              <a:latin typeface="+mn-lt"/>
              <a:ea typeface="+mn-ea"/>
              <a:cs typeface="+mn-cs"/>
            </a:rPr>
            <a:t>Dallas Lock</a:t>
          </a:r>
          <a:r>
            <a:rPr lang="ru-RU" sz="1100" b="0" i="0" baseline="0">
              <a:solidFill>
                <a:schemeClr val="dk1"/>
              </a:solidFill>
              <a:effectLst/>
              <a:latin typeface="+mn-lt"/>
              <a:ea typeface="+mn-ea"/>
              <a:cs typeface="+mn-cs"/>
            </a:rPr>
            <a:t> Универсальная лицензия лицензируется по количеству физических процессоров на хостах (гипервизорах). Имеет поддержку кластеров </a:t>
          </a:r>
          <a:r>
            <a:rPr lang="en-US" sz="1100" b="0" i="0" baseline="0">
              <a:solidFill>
                <a:schemeClr val="dk1"/>
              </a:solidFill>
              <a:effectLst/>
              <a:latin typeface="+mn-lt"/>
              <a:ea typeface="+mn-ea"/>
              <a:cs typeface="+mn-cs"/>
            </a:rPr>
            <a:t>MS Hyper-V</a:t>
          </a:r>
          <a:r>
            <a:rPr lang="ru-RU" sz="1100" b="0" i="0" baseline="0">
              <a:solidFill>
                <a:schemeClr val="dk1"/>
              </a:solidFill>
              <a:effectLst/>
              <a:latin typeface="+mn-lt"/>
              <a:ea typeface="+mn-ea"/>
              <a:cs typeface="+mn-cs"/>
            </a:rPr>
            <a:t>, </a:t>
          </a:r>
          <a:r>
            <a:rPr lang="en-US" sz="1100" b="0" i="0" baseline="0">
              <a:solidFill>
                <a:schemeClr val="dk1"/>
              </a:solidFill>
              <a:effectLst/>
              <a:latin typeface="+mn-lt"/>
              <a:ea typeface="+mn-ea"/>
              <a:cs typeface="+mn-cs"/>
            </a:rPr>
            <a:t>PSC-</a:t>
          </a:r>
          <a:r>
            <a:rPr lang="ru-RU" sz="1100" b="0" i="0" baseline="0">
              <a:solidFill>
                <a:schemeClr val="dk1"/>
              </a:solidFill>
              <a:effectLst/>
              <a:latin typeface="+mn-lt"/>
              <a:ea typeface="+mn-ea"/>
              <a:cs typeface="+mn-cs"/>
            </a:rPr>
            <a:t>серверов</a:t>
          </a:r>
          <a:r>
            <a:rPr lang="en-US" sz="1100" b="0" i="0" baseline="0">
              <a:solidFill>
                <a:schemeClr val="dk1"/>
              </a:solidFill>
              <a:effectLst/>
              <a:latin typeface="+mn-lt"/>
              <a:ea typeface="+mn-ea"/>
              <a:cs typeface="+mn-cs"/>
            </a:rPr>
            <a:t> VMware</a:t>
          </a:r>
          <a:r>
            <a:rPr lang="ru-RU" sz="1100" b="0" i="0" baseline="0">
              <a:solidFill>
                <a:schemeClr val="dk1"/>
              </a:solidFill>
              <a:effectLst/>
              <a:latin typeface="+mn-lt"/>
              <a:ea typeface="+mn-ea"/>
              <a:cs typeface="+mn-cs"/>
            </a:rPr>
            <a:t>, графическую панель мониторинга. Сертифицированный комплект для установки приобретается отдельно. Количество модулей «Межсетевой экран» (МЭ) должно соответствовать (ровно) количеству лицензий для хостов.</a:t>
          </a:r>
        </a:p>
        <a:p>
          <a:endParaRPr lang="ru-RU" sz="1100" b="1" i="0" baseline="0">
            <a:solidFill>
              <a:schemeClr val="dk1"/>
            </a:solidFill>
            <a:effectLst/>
            <a:latin typeface="+mn-lt"/>
            <a:ea typeface="+mn-ea"/>
            <a:cs typeface="+mn-cs"/>
          </a:endParaRPr>
        </a:p>
        <a:p>
          <a:r>
            <a:rPr lang="ru-RU" sz="1100" b="1" i="0" baseline="0">
              <a:solidFill>
                <a:schemeClr val="dk1"/>
              </a:solidFill>
              <a:effectLst/>
              <a:latin typeface="+mn-lt"/>
              <a:ea typeface="+mn-ea"/>
              <a:cs typeface="+mn-cs"/>
            </a:rPr>
            <a:t>СЗИ ВИ </a:t>
          </a:r>
          <a:r>
            <a:rPr lang="en-US" sz="1100" b="1" i="0" baseline="0">
              <a:solidFill>
                <a:schemeClr val="dk1"/>
              </a:solidFill>
              <a:effectLst/>
              <a:latin typeface="+mn-lt"/>
              <a:ea typeface="+mn-ea"/>
              <a:cs typeface="+mn-cs"/>
            </a:rPr>
            <a:t>Dallas Lock</a:t>
          </a:r>
          <a:r>
            <a:rPr lang="ru-RU" sz="1100" b="1" i="0" baseline="0">
              <a:solidFill>
                <a:schemeClr val="dk1"/>
              </a:solidFill>
              <a:effectLst/>
              <a:latin typeface="+mn-lt"/>
              <a:ea typeface="+mn-ea"/>
              <a:cs typeface="+mn-cs"/>
            </a:rPr>
            <a:t>. Модуль </a:t>
          </a:r>
          <a:r>
            <a:rPr lang="ru-RU" sz="1100" b="0" i="0" baseline="0">
              <a:solidFill>
                <a:schemeClr val="dk1"/>
              </a:solidFill>
              <a:effectLst/>
              <a:latin typeface="+mn-lt"/>
              <a:ea typeface="+mn-ea"/>
              <a:cs typeface="+mn-cs"/>
            </a:rPr>
            <a:t>«</a:t>
          </a:r>
          <a:r>
            <a:rPr lang="ru-RU" sz="1100" b="1" i="0" baseline="0">
              <a:solidFill>
                <a:schemeClr val="dk1"/>
              </a:solidFill>
              <a:effectLst/>
              <a:latin typeface="+mn-lt"/>
              <a:ea typeface="+mn-ea"/>
              <a:cs typeface="+mn-cs"/>
            </a:rPr>
            <a:t>Межсетевой экран</a:t>
          </a:r>
          <a:r>
            <a:rPr lang="ru-RU" sz="1100" b="0" i="0" baseline="0">
              <a:solidFill>
                <a:schemeClr val="dk1"/>
              </a:solidFill>
              <a:effectLst/>
              <a:latin typeface="+mn-lt"/>
              <a:ea typeface="+mn-ea"/>
              <a:cs typeface="+mn-cs"/>
            </a:rPr>
            <a:t>» </a:t>
          </a:r>
          <a:endParaRPr lang="ru-RU">
            <a:effectLst/>
          </a:endParaRPr>
        </a:p>
        <a:p>
          <a:pPr marL="0" marR="0" lvl="0" indent="0" algn="l" defTabSz="914400" eaLnBrk="1" fontAlgn="auto" latinLnBrk="0" hangingPunct="1">
            <a:lnSpc>
              <a:spcPct val="100000"/>
            </a:lnSpc>
            <a:spcBef>
              <a:spcPts val="0"/>
            </a:spcBef>
            <a:spcAft>
              <a:spcPts val="0"/>
            </a:spcAft>
            <a:buClrTx/>
            <a:buSzTx/>
            <a:buFontTx/>
            <a:buNone/>
            <a:tabLst/>
            <a:defRPr/>
          </a:pPr>
          <a:r>
            <a:rPr lang="ru-RU" sz="1100" b="0" i="0" baseline="0">
              <a:solidFill>
                <a:schemeClr val="dk1"/>
              </a:solidFill>
              <a:effectLst/>
              <a:latin typeface="+mn-lt"/>
              <a:ea typeface="+mn-ea"/>
              <a:cs typeface="+mn-cs"/>
            </a:rPr>
            <a:t>СЗИ ВИ </a:t>
          </a:r>
          <a:r>
            <a:rPr lang="en-US" sz="1100" b="0" i="0" baseline="0">
              <a:solidFill>
                <a:schemeClr val="dk1"/>
              </a:solidFill>
              <a:effectLst/>
              <a:latin typeface="+mn-lt"/>
              <a:ea typeface="+mn-ea"/>
              <a:cs typeface="+mn-cs"/>
            </a:rPr>
            <a:t>Dallas Lock</a:t>
          </a:r>
          <a:r>
            <a:rPr lang="ru-RU" sz="1100" b="0" i="0" baseline="0">
              <a:solidFill>
                <a:schemeClr val="dk1"/>
              </a:solidFill>
              <a:effectLst/>
              <a:latin typeface="+mn-lt"/>
              <a:ea typeface="+mn-ea"/>
              <a:cs typeface="+mn-cs"/>
            </a:rPr>
            <a:t>  Сертифицированный модуль «Межсетевой экран» (МЭ) приобретается отдельно в качестве Права на использование (МЭ) в рамках Бессрочной лицензии для </a:t>
          </a:r>
          <a:r>
            <a:rPr lang="en-US" sz="1100" b="0" i="0" baseline="0">
              <a:solidFill>
                <a:schemeClr val="dk1"/>
              </a:solidFill>
              <a:effectLst/>
              <a:latin typeface="+mn-lt"/>
              <a:ea typeface="+mn-ea"/>
              <a:cs typeface="+mn-cs"/>
            </a:rPr>
            <a:t>C</a:t>
          </a:r>
          <a:r>
            <a:rPr lang="ru-RU" sz="1100" b="0" i="0" baseline="0">
              <a:solidFill>
                <a:schemeClr val="dk1"/>
              </a:solidFill>
              <a:effectLst/>
              <a:latin typeface="+mn-lt"/>
              <a:ea typeface="+mn-ea"/>
              <a:cs typeface="+mn-cs"/>
            </a:rPr>
            <a:t>ЗИ ВИ </a:t>
          </a:r>
          <a:r>
            <a:rPr lang="en-US" sz="1100" b="0" i="0" baseline="0">
              <a:solidFill>
                <a:schemeClr val="dk1"/>
              </a:solidFill>
              <a:effectLst/>
              <a:latin typeface="+mn-lt"/>
              <a:ea typeface="+mn-ea"/>
              <a:cs typeface="+mn-cs"/>
            </a:rPr>
            <a:t>Dallas Lock. </a:t>
          </a:r>
          <a:r>
            <a:rPr lang="ru-RU" sz="1100" b="0" i="0" baseline="0">
              <a:solidFill>
                <a:schemeClr val="dk1"/>
              </a:solidFill>
              <a:effectLst/>
              <a:latin typeface="+mn-lt"/>
              <a:ea typeface="+mn-ea"/>
              <a:cs typeface="+mn-cs"/>
            </a:rPr>
            <a:t>Универсальная лицензия для </a:t>
          </a:r>
          <a:r>
            <a:rPr lang="en-US" sz="1100" b="0" i="0" baseline="0">
              <a:solidFill>
                <a:schemeClr val="dk1"/>
              </a:solidFill>
              <a:effectLst/>
              <a:latin typeface="+mn-lt"/>
              <a:ea typeface="+mn-ea"/>
              <a:cs typeface="+mn-cs"/>
            </a:rPr>
            <a:t>ESXi, KVM</a:t>
          </a:r>
          <a:r>
            <a:rPr lang="ru-RU" sz="1100" b="0" i="0" baseline="0">
              <a:solidFill>
                <a:schemeClr val="dk1"/>
              </a:solidFill>
              <a:effectLst/>
              <a:latin typeface="+mn-lt"/>
              <a:ea typeface="+mn-ea"/>
              <a:cs typeface="+mn-cs"/>
            </a:rPr>
            <a:t> </a:t>
          </a:r>
          <a:r>
            <a:rPr lang="en-US" sz="1100" b="0" i="0" baseline="0">
              <a:solidFill>
                <a:schemeClr val="dk1"/>
              </a:solidFill>
              <a:effectLst/>
              <a:latin typeface="+mn-lt"/>
              <a:ea typeface="+mn-ea"/>
              <a:cs typeface="+mn-cs"/>
            </a:rPr>
            <a:t>c</a:t>
          </a:r>
          <a:r>
            <a:rPr lang="ru-RU" sz="1100" b="0" i="0" baseline="0">
              <a:solidFill>
                <a:schemeClr val="dk1"/>
              </a:solidFill>
              <a:effectLst/>
              <a:latin typeface="+mn-lt"/>
              <a:ea typeface="+mn-ea"/>
              <a:cs typeface="+mn-cs"/>
            </a:rPr>
            <a:t>ерверов (гипервизоров). П</a:t>
          </a:r>
          <a:r>
            <a:rPr lang="ru-RU" sz="1100" b="0" i="0">
              <a:solidFill>
                <a:schemeClr val="dk1"/>
              </a:solidFill>
              <a:effectLst/>
              <a:latin typeface="+mn-lt"/>
              <a:ea typeface="+mn-ea"/>
              <a:cs typeface="+mn-cs"/>
            </a:rPr>
            <a:t>оставка изделия осуществляется через обновление ранее приобретенной лицензии, номер лицензии будет сгенерирован повторно с содержанием модуля </a:t>
          </a:r>
          <a:r>
            <a:rPr lang="ru-RU" sz="1100" b="0" i="0" baseline="0">
              <a:solidFill>
                <a:schemeClr val="dk1"/>
              </a:solidFill>
              <a:effectLst/>
              <a:latin typeface="+mn-lt"/>
              <a:ea typeface="+mn-ea"/>
              <a:cs typeface="+mn-cs"/>
            </a:rPr>
            <a:t>«Межсетевой экран» (МЭ) </a:t>
          </a:r>
          <a:r>
            <a:rPr lang="ru-RU" sz="1100" b="0" i="0">
              <a:solidFill>
                <a:schemeClr val="dk1"/>
              </a:solidFill>
              <a:effectLst/>
              <a:latin typeface="+mn-lt"/>
              <a:ea typeface="+mn-ea"/>
              <a:cs typeface="+mn-cs"/>
            </a:rPr>
            <a:t>.</a:t>
          </a:r>
          <a:r>
            <a:rPr lang="ru-RU" sz="1100" b="0" i="0" baseline="0">
              <a:solidFill>
                <a:schemeClr val="dk1"/>
              </a:solidFill>
              <a:effectLst/>
              <a:latin typeface="+mn-lt"/>
              <a:ea typeface="+mn-ea"/>
              <a:cs typeface="+mn-cs"/>
            </a:rPr>
            <a:t> Для </a:t>
          </a:r>
          <a:r>
            <a:rPr lang="ru-RU" sz="1100" b="1" i="0" baseline="0">
              <a:solidFill>
                <a:schemeClr val="dk1"/>
              </a:solidFill>
              <a:effectLst/>
              <a:latin typeface="+mn-lt"/>
              <a:ea typeface="+mn-ea"/>
              <a:cs typeface="+mn-cs"/>
            </a:rPr>
            <a:t>Универсальной лицензии для </a:t>
          </a:r>
          <a:r>
            <a:rPr lang="en-US" sz="1100" b="1" i="0" baseline="0">
              <a:solidFill>
                <a:schemeClr val="dk1"/>
              </a:solidFill>
              <a:effectLst/>
              <a:latin typeface="+mn-lt"/>
              <a:ea typeface="+mn-ea"/>
              <a:cs typeface="+mn-cs"/>
            </a:rPr>
            <a:t>ESXi, Hyper-V </a:t>
          </a:r>
          <a:r>
            <a:rPr lang="ru-RU" sz="1100" b="1" i="0" baseline="0">
              <a:solidFill>
                <a:schemeClr val="dk1"/>
              </a:solidFill>
              <a:effectLst/>
              <a:latin typeface="+mn-lt"/>
              <a:ea typeface="+mn-ea"/>
              <a:cs typeface="+mn-cs"/>
            </a:rPr>
            <a:t>и </a:t>
          </a:r>
          <a:r>
            <a:rPr lang="en-US" sz="1100" b="1" i="0" baseline="0">
              <a:solidFill>
                <a:schemeClr val="dk1"/>
              </a:solidFill>
              <a:effectLst/>
              <a:latin typeface="+mn-lt"/>
              <a:ea typeface="+mn-ea"/>
              <a:cs typeface="+mn-cs"/>
            </a:rPr>
            <a:t>KVM </a:t>
          </a:r>
          <a:r>
            <a:rPr lang="ru-RU" sz="1100" b="0" i="0" baseline="0">
              <a:solidFill>
                <a:schemeClr val="dk1"/>
              </a:solidFill>
              <a:effectLst/>
              <a:latin typeface="+mn-lt"/>
              <a:ea typeface="+mn-ea"/>
              <a:cs typeface="+mn-cs"/>
            </a:rPr>
            <a:t>серверов (гипервизоров) Сертифицированный модуль «Межсетевой экран» (МЭ) </a:t>
          </a:r>
          <a:r>
            <a:rPr lang="ru-RU" sz="1100" b="1" i="0" baseline="0">
              <a:solidFill>
                <a:schemeClr val="dk1"/>
              </a:solidFill>
              <a:effectLst/>
              <a:latin typeface="+mn-lt"/>
              <a:ea typeface="+mn-ea"/>
              <a:cs typeface="+mn-cs"/>
            </a:rPr>
            <a:t>не поставляется</a:t>
          </a:r>
          <a:r>
            <a:rPr lang="ru-RU" sz="1100" b="0" i="0" baseline="0">
              <a:solidFill>
                <a:schemeClr val="dk1"/>
              </a:solidFill>
              <a:effectLst/>
              <a:latin typeface="+mn-lt"/>
              <a:ea typeface="+mn-ea"/>
              <a:cs typeface="+mn-cs"/>
            </a:rPr>
            <a:t>.</a:t>
          </a:r>
        </a:p>
        <a:p>
          <a:pPr marL="0" marR="0" lvl="0" indent="0" algn="l" defTabSz="914400" eaLnBrk="1" fontAlgn="auto" latinLnBrk="0" hangingPunct="1">
            <a:lnSpc>
              <a:spcPct val="100000"/>
            </a:lnSpc>
            <a:spcBef>
              <a:spcPts val="0"/>
            </a:spcBef>
            <a:spcAft>
              <a:spcPts val="0"/>
            </a:spcAft>
            <a:buClrTx/>
            <a:buSzTx/>
            <a:buFontTx/>
            <a:buNone/>
            <a:tabLst/>
            <a:defRPr/>
          </a:pPr>
          <a:endParaRPr lang="ru-RU" sz="1100" b="1">
            <a:solidFill>
              <a:schemeClr val="dk1"/>
            </a:solidFill>
            <a:effectLst/>
            <a:latin typeface="+mn-lt"/>
            <a:ea typeface="+mn-ea"/>
            <a:cs typeface="+mn-cs"/>
          </a:endParaRPr>
        </a:p>
        <a:p>
          <a:pPr algn="l" eaLnBrk="1" fontAlgn="auto" latinLnBrk="0" hangingPunct="1"/>
          <a:r>
            <a:rPr lang="ru-RU" sz="1100" b="1">
              <a:solidFill>
                <a:schemeClr val="dk1"/>
              </a:solidFill>
              <a:effectLst/>
              <a:latin typeface="+mn-lt"/>
              <a:ea typeface="+mn-ea"/>
              <a:cs typeface="+mn-cs"/>
            </a:rPr>
            <a:t>СЗИ ВИ Dallas Lock Универсальная</a:t>
          </a:r>
          <a:r>
            <a:rPr lang="ru-RU" sz="1100" b="1" baseline="0">
              <a:solidFill>
                <a:schemeClr val="dk1"/>
              </a:solidFill>
              <a:effectLst/>
              <a:latin typeface="+mn-lt"/>
              <a:ea typeface="+mn-ea"/>
              <a:cs typeface="+mn-cs"/>
            </a:rPr>
            <a:t> лицензия </a:t>
          </a:r>
          <a:r>
            <a:rPr lang="ru-RU" sz="1100" b="1">
              <a:solidFill>
                <a:schemeClr val="dk1"/>
              </a:solidFill>
              <a:effectLst/>
              <a:latin typeface="+mn-lt"/>
              <a:ea typeface="+mn-ea"/>
              <a:cs typeface="+mn-cs"/>
            </a:rPr>
            <a:t>обязательна</a:t>
          </a:r>
          <a:r>
            <a:rPr lang="ru-RU" sz="1100">
              <a:solidFill>
                <a:schemeClr val="dk1"/>
              </a:solidFill>
              <a:effectLst/>
              <a:latin typeface="+mn-lt"/>
              <a:ea typeface="+mn-ea"/>
              <a:cs typeface="+mn-cs"/>
            </a:rPr>
            <a:t> при использовании следующих технологий и механизмов виртуализации:</a:t>
          </a:r>
          <a:r>
            <a:rPr lang="en-US" sz="1100" baseline="0">
              <a:solidFill>
                <a:schemeClr val="dk1"/>
              </a:solidFill>
              <a:effectLst/>
              <a:latin typeface="+mn-lt"/>
              <a:ea typeface="+mn-ea"/>
              <a:cs typeface="+mn-cs"/>
            </a:rPr>
            <a:t> </a:t>
          </a:r>
          <a:r>
            <a:rPr lang="ru-RU" sz="1100">
              <a:solidFill>
                <a:schemeClr val="dk1"/>
              </a:solidFill>
              <a:effectLst/>
              <a:latin typeface="+mn-lt"/>
              <a:ea typeface="+mn-ea"/>
              <a:cs typeface="+mn-cs"/>
            </a:rPr>
            <a:t>Microsoft Hyper-V High Availability (HA), Failover Cluster Manager, System Center Virtual Machine Manager,</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VMware vSphere vCenter High Availability, VMware Fault Tolerance, Enhanced Linked Mode, Embedded Linked Mode, Hybrid Linked Mode.</a:t>
          </a:r>
          <a:endParaRPr lang="ru-RU">
            <a:effectLst/>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sz="1100" b="0" i="0" u="none" strike="noStrike" baseline="0">
            <a:solidFill>
              <a:schemeClr val="dk1"/>
            </a:solidFill>
            <a:latin typeface="+mn-lt"/>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lang="ru-RU" sz="1100" b="1" i="0" baseline="0">
              <a:solidFill>
                <a:schemeClr val="dk1"/>
              </a:solidFill>
              <a:effectLst/>
              <a:latin typeface="+mn-lt"/>
              <a:ea typeface="+mn-ea"/>
              <a:cs typeface="+mn-cs"/>
            </a:rPr>
            <a:t>СЗИ ВИ </a:t>
          </a:r>
          <a:r>
            <a:rPr lang="en-US" sz="1100" b="1" i="0" baseline="0">
              <a:solidFill>
                <a:schemeClr val="dk1"/>
              </a:solidFill>
              <a:effectLst/>
              <a:latin typeface="+mn-lt"/>
              <a:ea typeface="+mn-ea"/>
              <a:cs typeface="+mn-cs"/>
            </a:rPr>
            <a:t>Dallas Lock</a:t>
          </a:r>
          <a:r>
            <a:rPr lang="ru-RU" sz="1100" b="1" i="0" baseline="0">
              <a:solidFill>
                <a:schemeClr val="dk1"/>
              </a:solidFill>
              <a:effectLst/>
              <a:latin typeface="+mn-lt"/>
              <a:ea typeface="+mn-ea"/>
              <a:cs typeface="+mn-cs"/>
            </a:rPr>
            <a:t>. Электронная дистрибуция</a:t>
          </a:r>
        </a:p>
        <a:p>
          <a:pPr algn="l"/>
          <a:r>
            <a:rPr lang="ru-RU" sz="1100" b="0" i="0">
              <a:solidFill>
                <a:schemeClr val="dk1"/>
              </a:solidFill>
              <a:effectLst/>
              <a:latin typeface="+mn-lt"/>
              <a:ea typeface="+mn-ea"/>
              <a:cs typeface="+mn-cs"/>
            </a:rPr>
            <a:t>С 1 сентября 2025 года стартует электронная дистрибуция</a:t>
          </a:r>
          <a:r>
            <a:rPr lang="ru-RU" sz="1100" b="0" i="0" baseline="0">
              <a:solidFill>
                <a:schemeClr val="dk1"/>
              </a:solidFill>
              <a:effectLst/>
              <a:latin typeface="+mn-lt"/>
              <a:ea typeface="+mn-ea"/>
              <a:cs typeface="+mn-cs"/>
            </a:rPr>
            <a:t> –</a:t>
          </a:r>
          <a:r>
            <a:rPr lang="ru-RU" sz="1100" b="0" i="0">
              <a:solidFill>
                <a:schemeClr val="dk1"/>
              </a:solidFill>
              <a:effectLst/>
              <a:latin typeface="+mn-lt"/>
              <a:ea typeface="+mn-ea"/>
              <a:cs typeface="+mn-cs"/>
            </a:rPr>
            <a:t> это возможность скачивать необходимые документы и дистрибутивы в личном</a:t>
          </a:r>
          <a:r>
            <a:rPr lang="ru-RU" sz="1100" b="0" i="0" baseline="0">
              <a:solidFill>
                <a:schemeClr val="dk1"/>
              </a:solidFill>
              <a:effectLst/>
              <a:latin typeface="+mn-lt"/>
              <a:ea typeface="+mn-ea"/>
              <a:cs typeface="+mn-cs"/>
            </a:rPr>
            <a:t> кабинете </a:t>
          </a:r>
          <a:r>
            <a:rPr lang="ru-RU" sz="1100" b="0" i="0">
              <a:solidFill>
                <a:schemeClr val="dk1"/>
              </a:solidFill>
              <a:effectLst/>
              <a:latin typeface="+mn-lt"/>
              <a:ea typeface="+mn-ea"/>
              <a:cs typeface="+mn-cs"/>
            </a:rPr>
            <a:t>пользователя на</a:t>
          </a:r>
          <a:r>
            <a:rPr lang="ru-RU" sz="1100" b="0" i="0" baseline="0">
              <a:solidFill>
                <a:schemeClr val="dk1"/>
              </a:solidFill>
              <a:effectLst/>
              <a:latin typeface="+mn-lt"/>
              <a:ea typeface="+mn-ea"/>
              <a:cs typeface="+mn-cs"/>
            </a:rPr>
            <a:t> </a:t>
          </a:r>
          <a:r>
            <a:rPr lang="ru-RU" sz="1100" b="0" i="0">
              <a:solidFill>
                <a:schemeClr val="dk1"/>
              </a:solidFill>
              <a:effectLst/>
              <a:latin typeface="+mn-lt"/>
              <a:ea typeface="+mn-ea"/>
              <a:cs typeface="+mn-cs"/>
            </a:rPr>
            <a:t>сайте </a:t>
          </a:r>
          <a:r>
            <a:rPr lang="en-US" sz="1100" b="0" i="0" u="none" strike="noStrike">
              <a:solidFill>
                <a:sysClr val="windowText" lastClr="000000"/>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xmlns="" val="tx"/>
                  </a:ext>
                </a:extLst>
              </a:hlinkClick>
            </a:rPr>
            <a:t>www.dallaslock.ru</a:t>
          </a:r>
          <a:r>
            <a:rPr lang="en-US" sz="1100" b="0" i="0">
              <a:solidFill>
                <a:schemeClr val="dk1"/>
              </a:solidFill>
              <a:effectLst/>
              <a:latin typeface="+mn-lt"/>
              <a:ea typeface="+mn-ea"/>
              <a:cs typeface="+mn-cs"/>
            </a:rPr>
            <a:t> </a:t>
          </a:r>
          <a:r>
            <a:rPr lang="ru-RU" sz="1100" b="0" i="0">
              <a:solidFill>
                <a:schemeClr val="dk1"/>
              </a:solidFill>
              <a:effectLst/>
              <a:latin typeface="+mn-lt"/>
              <a:ea typeface="+mn-ea"/>
              <a:cs typeface="+mn-cs"/>
            </a:rPr>
            <a:t>или воспользоваться ссылками для скачивания в момент активации лицензий. </a:t>
          </a:r>
          <a:r>
            <a:rPr lang="ru-RU" sz="1100" b="0" i="0" baseline="0">
              <a:solidFill>
                <a:schemeClr val="dk1"/>
              </a:solidFill>
              <a:effectLst/>
              <a:latin typeface="+mn-lt"/>
              <a:ea typeface="+mn-ea"/>
              <a:cs typeface="+mn-cs"/>
            </a:rPr>
            <a:t> </a:t>
          </a:r>
          <a:r>
            <a:rPr lang="ru-RU" sz="1100" b="0" i="0">
              <a:solidFill>
                <a:schemeClr val="dk1"/>
              </a:solidFill>
              <a:effectLst/>
              <a:latin typeface="+mn-lt"/>
              <a:ea typeface="+mn-ea"/>
              <a:cs typeface="+mn-cs"/>
            </a:rPr>
            <a:t>Возможность приобретать физические дистрибутивы сохраняется.</a:t>
          </a:r>
          <a:endParaRPr lang="en-US" sz="1100" b="1" i="0" u="none" strike="noStrike" baseline="0">
            <a:solidFill>
              <a:schemeClr val="dk1"/>
            </a:solidFill>
            <a:latin typeface="+mn-lt"/>
            <a:ea typeface="+mn-ea"/>
            <a:cs typeface="Arial" panose="020B0604020202020204" pitchFamily="34" charset="0"/>
          </a:endParaRPr>
        </a:p>
        <a:p>
          <a:pPr algn="just"/>
          <a:endParaRPr lang="en-US" sz="1100" b="1" i="0" u="none" strike="noStrike" baseline="0">
            <a:solidFill>
              <a:schemeClr val="dk1"/>
            </a:solidFill>
            <a:latin typeface="+mn-lt"/>
            <a:ea typeface="+mn-ea"/>
            <a:cs typeface="Arial" panose="020B0604020202020204" pitchFamily="34" charset="0"/>
          </a:endParaRPr>
        </a:p>
        <a:p>
          <a:pPr algn="l"/>
          <a:r>
            <a:rPr lang="ru-RU" sz="1100" b="1" i="0" u="none" strike="noStrike" baseline="0">
              <a:solidFill>
                <a:schemeClr val="dk1"/>
              </a:solidFill>
              <a:latin typeface="+mn-lt"/>
              <a:ea typeface="+mn-ea"/>
              <a:cs typeface="Arial" panose="020B0604020202020204" pitchFamily="34" charset="0"/>
            </a:rPr>
            <a:t>СЗИ ВИ </a:t>
          </a:r>
          <a:r>
            <a:rPr lang="en-US" sz="1100" b="1" i="0" u="none" strike="noStrike" baseline="0">
              <a:solidFill>
                <a:schemeClr val="dk1"/>
              </a:solidFill>
              <a:latin typeface="+mn-lt"/>
              <a:ea typeface="+mn-ea"/>
              <a:cs typeface="Arial" panose="020B0604020202020204" pitchFamily="34" charset="0"/>
            </a:rPr>
            <a:t>Dallas Lock</a:t>
          </a:r>
          <a:r>
            <a:rPr lang="ru-RU" sz="1100" b="1" i="0" u="none" strike="noStrike" baseline="0">
              <a:solidFill>
                <a:schemeClr val="dk1"/>
              </a:solidFill>
              <a:latin typeface="+mn-lt"/>
              <a:ea typeface="+mn-ea"/>
              <a:cs typeface="Arial" panose="020B0604020202020204" pitchFamily="34" charset="0"/>
            </a:rPr>
            <a:t>. Сертифицированный комплект для установка </a:t>
          </a:r>
        </a:p>
        <a:p>
          <a:pPr marL="0" marR="0" lvl="0" indent="0" algn="l" defTabSz="914400" eaLnBrk="1" fontAlgn="auto" latinLnBrk="0" hangingPunct="1">
            <a:lnSpc>
              <a:spcPct val="100000"/>
            </a:lnSpc>
            <a:spcBef>
              <a:spcPts val="0"/>
            </a:spcBef>
            <a:spcAft>
              <a:spcPts val="0"/>
            </a:spcAft>
            <a:buClrTx/>
            <a:buSzTx/>
            <a:buFontTx/>
            <a:buNone/>
            <a:tabLst/>
            <a:defRPr/>
          </a:pPr>
          <a:r>
            <a:rPr lang="ru-RU" sz="1100" b="0" i="0" u="none" strike="noStrike" baseline="0">
              <a:solidFill>
                <a:schemeClr val="dk1"/>
              </a:solidFill>
              <a:latin typeface="+mn-lt"/>
              <a:ea typeface="+mn-ea"/>
              <a:cs typeface="Arial" panose="020B0604020202020204" pitchFamily="34" charset="0"/>
            </a:rPr>
            <a:t>Компакт-диск с ПО СЗИ ВИ </a:t>
          </a:r>
          <a:r>
            <a:rPr lang="en-US" sz="1100" b="0" i="0" u="none" strike="noStrike" baseline="0">
              <a:solidFill>
                <a:schemeClr val="dk1"/>
              </a:solidFill>
              <a:latin typeface="+mn-lt"/>
              <a:ea typeface="+mn-ea"/>
              <a:cs typeface="Arial" panose="020B0604020202020204" pitchFamily="34" charset="0"/>
            </a:rPr>
            <a:t>Dallas Lock</a:t>
          </a:r>
          <a:r>
            <a:rPr lang="ru-RU" sz="1100" b="0" i="0" u="none" strike="noStrike" baseline="0">
              <a:solidFill>
                <a:schemeClr val="dk1"/>
              </a:solidFill>
              <a:latin typeface="+mn-lt"/>
              <a:ea typeface="+mn-ea"/>
              <a:cs typeface="Arial" panose="020B0604020202020204" pitchFamily="34" charset="0"/>
            </a:rPr>
            <a:t> и документацией в электронном виде;</a:t>
          </a:r>
          <a:r>
            <a:rPr lang="en-US" sz="1100" b="0" i="0" u="none" strike="noStrike" baseline="0">
              <a:solidFill>
                <a:schemeClr val="dk1"/>
              </a:solidFill>
              <a:latin typeface="+mn-lt"/>
              <a:ea typeface="+mn-ea"/>
              <a:cs typeface="Arial" panose="020B0604020202020204" pitchFamily="34" charset="0"/>
            </a:rPr>
            <a:t> </a:t>
          </a:r>
          <a:r>
            <a:rPr lang="ru-RU" sz="1100" b="0" i="0" u="none" strike="noStrike" baseline="0">
              <a:solidFill>
                <a:schemeClr val="dk1"/>
              </a:solidFill>
              <a:latin typeface="+mn-lt"/>
              <a:ea typeface="+mn-ea"/>
              <a:cs typeface="Arial" panose="020B0604020202020204" pitchFamily="34" charset="0"/>
            </a:rPr>
            <a:t>лицензионный </a:t>
          </a:r>
          <a:r>
            <a:rPr lang="en-US" sz="1100" b="0" i="0" u="none" strike="noStrike" baseline="0">
              <a:solidFill>
                <a:schemeClr val="dk1"/>
              </a:solidFill>
              <a:latin typeface="+mn-lt"/>
              <a:ea typeface="+mn-ea"/>
              <a:cs typeface="Arial" panose="020B0604020202020204" pitchFamily="34" charset="0"/>
            </a:rPr>
            <a:t>USB-</a:t>
          </a:r>
          <a:r>
            <a:rPr lang="ru-RU" sz="1100" b="0" i="0" u="none" strike="noStrike" baseline="0">
              <a:solidFill>
                <a:schemeClr val="dk1"/>
              </a:solidFill>
              <a:latin typeface="+mn-lt"/>
              <a:ea typeface="+mn-ea"/>
              <a:cs typeface="Arial" panose="020B0604020202020204" pitchFamily="34" charset="0"/>
            </a:rPr>
            <a:t>ключ с указанием максимального количества центров</a:t>
          </a:r>
          <a:r>
            <a:rPr lang="en-US" sz="1100" b="0" i="0" u="none" strike="noStrike" baseline="0">
              <a:solidFill>
                <a:schemeClr val="dk1"/>
              </a:solidFill>
              <a:latin typeface="+mn-lt"/>
              <a:ea typeface="+mn-ea"/>
              <a:cs typeface="Arial" panose="020B0604020202020204" pitchFamily="34" charset="0"/>
            </a:rPr>
            <a:t> </a:t>
          </a:r>
          <a:r>
            <a:rPr lang="ru-RU" sz="1100" b="0" i="0" u="none" strike="noStrike" baseline="0">
              <a:solidFill>
                <a:schemeClr val="dk1"/>
              </a:solidFill>
              <a:latin typeface="+mn-lt"/>
              <a:ea typeface="+mn-ea"/>
              <a:cs typeface="Arial" panose="020B0604020202020204" pitchFamily="34" charset="0"/>
            </a:rPr>
            <a:t>управления и количества физических проце</a:t>
          </a:r>
          <a:r>
            <a:rPr lang="ru-RU" sz="1100" b="0" i="0" baseline="0">
              <a:solidFill>
                <a:schemeClr val="dk1"/>
              </a:solidFill>
              <a:effectLst/>
              <a:latin typeface="+mn-lt"/>
              <a:ea typeface="+mn-ea"/>
              <a:cs typeface="+mn-cs"/>
            </a:rPr>
            <a:t>ссоров; формуляр; копия сертификата ФСТЭК России; краткое руководство </a:t>
          </a:r>
          <a:r>
            <a:rPr lang="ru-RU" sz="1100" b="1" i="0" baseline="0">
              <a:solidFill>
                <a:schemeClr val="dk1"/>
              </a:solidFill>
              <a:effectLst/>
              <a:latin typeface="+mn-lt"/>
              <a:ea typeface="+mn-ea"/>
              <a:cs typeface="+mn-cs"/>
            </a:rPr>
            <a:t>(возможна электронная поставка).</a:t>
          </a:r>
        </a:p>
        <a:p>
          <a:pPr marL="0" marR="0" lvl="0" indent="0" algn="l" defTabSz="914400" eaLnBrk="1" fontAlgn="auto" latinLnBrk="0" hangingPunct="1">
            <a:lnSpc>
              <a:spcPct val="100000"/>
            </a:lnSpc>
            <a:spcBef>
              <a:spcPts val="0"/>
            </a:spcBef>
            <a:spcAft>
              <a:spcPts val="0"/>
            </a:spcAft>
            <a:buClrTx/>
            <a:buSzTx/>
            <a:buFontTx/>
            <a:buNone/>
            <a:tabLst/>
            <a:defRPr/>
          </a:pPr>
          <a:endParaRPr lang="ru-RU" sz="1100" b="1" i="0" baseline="0">
            <a:solidFill>
              <a:schemeClr val="dk1"/>
            </a:solidFill>
            <a:effectLst/>
            <a:latin typeface="+mn-lt"/>
            <a:ea typeface="+mn-ea"/>
            <a:cs typeface="+mn-cs"/>
          </a:endParaRPr>
        </a:p>
        <a:p>
          <a:r>
            <a:rPr lang="ru-RU" sz="1100" b="1" i="0" baseline="0">
              <a:solidFill>
                <a:schemeClr val="dk1"/>
              </a:solidFill>
              <a:effectLst/>
              <a:latin typeface="+mn-lt"/>
              <a:ea typeface="+mn-ea"/>
              <a:cs typeface="+mn-cs"/>
            </a:rPr>
            <a:t>Комментарии</a:t>
          </a:r>
          <a:endParaRPr lang="ru-RU">
            <a:effectLst/>
          </a:endParaRPr>
        </a:p>
        <a:p>
          <a:r>
            <a:rPr lang="ru-RU" sz="1100" b="0" i="0" baseline="0">
              <a:solidFill>
                <a:schemeClr val="dk1"/>
              </a:solidFill>
              <a:effectLst/>
              <a:latin typeface="+mn-lt"/>
              <a:ea typeface="+mn-ea"/>
              <a:cs typeface="+mn-cs"/>
            </a:rPr>
            <a:t>• Для защиты серверных платформ, на которых функционирует виртуальная</a:t>
          </a:r>
          <a:r>
            <a:rPr lang="en-US" sz="1100" b="0" i="0" baseline="0">
              <a:solidFill>
                <a:schemeClr val="dk1"/>
              </a:solidFill>
              <a:effectLst/>
              <a:latin typeface="+mn-lt"/>
              <a:ea typeface="+mn-ea"/>
              <a:cs typeface="+mn-cs"/>
            </a:rPr>
            <a:t> </a:t>
          </a:r>
          <a:r>
            <a:rPr lang="ru-RU" sz="1100" b="0" i="0" baseline="0">
              <a:solidFill>
                <a:schemeClr val="dk1"/>
              </a:solidFill>
              <a:effectLst/>
              <a:latin typeface="+mn-lt"/>
              <a:ea typeface="+mn-ea"/>
              <a:cs typeface="+mn-cs"/>
            </a:rPr>
            <a:t>инфраструктура, рекомендуется использование СДЗ </a:t>
          </a:r>
          <a:r>
            <a:rPr lang="en-US" sz="1100" b="0" i="0" baseline="0">
              <a:solidFill>
                <a:schemeClr val="dk1"/>
              </a:solidFill>
              <a:effectLst/>
              <a:latin typeface="+mn-lt"/>
              <a:ea typeface="+mn-ea"/>
              <a:cs typeface="+mn-cs"/>
            </a:rPr>
            <a:t>Dallas Lock (</a:t>
          </a:r>
          <a:r>
            <a:rPr lang="ru-RU" sz="1100" b="0" i="0" baseline="0">
              <a:solidFill>
                <a:schemeClr val="dk1"/>
              </a:solidFill>
              <a:effectLst/>
              <a:latin typeface="+mn-lt"/>
              <a:ea typeface="+mn-ea"/>
              <a:cs typeface="+mn-cs"/>
            </a:rPr>
            <a:t>приобретается отдельно), а также </a:t>
          </a:r>
          <a:r>
            <a:rPr lang="en-US" sz="1100" b="0" i="0" baseline="0">
              <a:solidFill>
                <a:schemeClr val="dk1"/>
              </a:solidFill>
              <a:effectLst/>
              <a:latin typeface="+mn-lt"/>
              <a:ea typeface="+mn-ea"/>
              <a:cs typeface="+mn-cs"/>
            </a:rPr>
            <a:t>Dallas Lock 8.0 (</a:t>
          </a:r>
          <a:r>
            <a:rPr lang="ru-RU" sz="1100" b="0" i="0" baseline="0">
              <a:solidFill>
                <a:schemeClr val="dk1"/>
              </a:solidFill>
              <a:effectLst/>
              <a:latin typeface="+mn-lt"/>
              <a:ea typeface="+mn-ea"/>
              <a:cs typeface="+mn-cs"/>
            </a:rPr>
            <a:t>СЗИ НСД, СКН, МЭ, СОВ) или </a:t>
          </a:r>
          <a:r>
            <a:rPr lang="en-US" sz="1100" b="0" i="0" baseline="0">
              <a:solidFill>
                <a:schemeClr val="dk1"/>
              </a:solidFill>
              <a:effectLst/>
              <a:latin typeface="+mn-lt"/>
              <a:ea typeface="+mn-ea"/>
              <a:cs typeface="+mn-cs"/>
            </a:rPr>
            <a:t>Dallas Lock Linux (</a:t>
          </a:r>
          <a:r>
            <a:rPr lang="ru-RU" sz="1100" b="0" i="0" baseline="0">
              <a:solidFill>
                <a:schemeClr val="dk1"/>
              </a:solidFill>
              <a:effectLst/>
              <a:latin typeface="+mn-lt"/>
              <a:ea typeface="+mn-ea"/>
              <a:cs typeface="+mn-cs"/>
            </a:rPr>
            <a:t>СЗИ НСД) (приобретаются отдельно).</a:t>
          </a:r>
          <a:endParaRPr lang="ru-RU">
            <a:effectLst/>
          </a:endParaRPr>
        </a:p>
        <a:p>
          <a:r>
            <a:rPr lang="ru-RU" sz="1100" b="0" i="0" baseline="0">
              <a:solidFill>
                <a:schemeClr val="dk1"/>
              </a:solidFill>
              <a:effectLst/>
              <a:latin typeface="+mn-lt"/>
              <a:ea typeface="+mn-ea"/>
              <a:cs typeface="+mn-cs"/>
            </a:rPr>
            <a:t>• Для защиты виртуальных машин также рекомендуется использовать </a:t>
          </a:r>
          <a:r>
            <a:rPr lang="en-US" sz="1100" b="0" i="0" baseline="0">
              <a:solidFill>
                <a:schemeClr val="dk1"/>
              </a:solidFill>
              <a:effectLst/>
              <a:latin typeface="+mn-lt"/>
              <a:ea typeface="+mn-ea"/>
              <a:cs typeface="+mn-cs"/>
            </a:rPr>
            <a:t>Dallas Lock 8.0 (</a:t>
          </a:r>
          <a:r>
            <a:rPr lang="ru-RU" sz="1100" b="0" i="0" baseline="0">
              <a:solidFill>
                <a:schemeClr val="dk1"/>
              </a:solidFill>
              <a:effectLst/>
              <a:latin typeface="+mn-lt"/>
              <a:ea typeface="+mn-ea"/>
              <a:cs typeface="+mn-cs"/>
            </a:rPr>
            <a:t>СЗИ НСД, СКН, МЭ, СОВ) или </a:t>
          </a:r>
          <a:r>
            <a:rPr lang="en-US" sz="1100" b="0" i="0" baseline="0">
              <a:solidFill>
                <a:schemeClr val="dk1"/>
              </a:solidFill>
              <a:effectLst/>
              <a:latin typeface="+mn-lt"/>
              <a:ea typeface="+mn-ea"/>
              <a:cs typeface="+mn-cs"/>
            </a:rPr>
            <a:t>Dallas Lock Linux (</a:t>
          </a:r>
          <a:r>
            <a:rPr lang="ru-RU" sz="1100" b="0" i="0" baseline="0">
              <a:solidFill>
                <a:schemeClr val="dk1"/>
              </a:solidFill>
              <a:effectLst/>
              <a:latin typeface="+mn-lt"/>
              <a:ea typeface="+mn-ea"/>
              <a:cs typeface="+mn-cs"/>
            </a:rPr>
            <a:t>СЗИ НСД) (приобретаются отдельно).</a:t>
          </a:r>
          <a:endParaRPr lang="ru-RU">
            <a:effectLst/>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ru-RU">
            <a:effectLst/>
          </a:endParaRPr>
        </a:p>
        <a:p>
          <a:pPr marL="0" marR="0" lvl="0" indent="0" algn="just" defTabSz="914400" eaLnBrk="1" fontAlgn="auto" latinLnBrk="0" hangingPunct="1">
            <a:lnSpc>
              <a:spcPct val="100000"/>
            </a:lnSpc>
            <a:spcBef>
              <a:spcPts val="0"/>
            </a:spcBef>
            <a:spcAft>
              <a:spcPts val="0"/>
            </a:spcAft>
            <a:buClrTx/>
            <a:buSzTx/>
            <a:buFontTx/>
            <a:buNone/>
            <a:tabLst/>
            <a:defRPr/>
          </a:pPr>
          <a:endParaRPr lang="ru-RU">
            <a:effectLst/>
          </a:endParaRPr>
        </a:p>
        <a:p>
          <a:pPr algn="just"/>
          <a:endParaRPr lang="en-US" sz="1100" b="0" i="0" u="none" strike="noStrike" baseline="0">
            <a:solidFill>
              <a:schemeClr val="dk1"/>
            </a:solidFill>
            <a:latin typeface="+mn-lt"/>
            <a:ea typeface="+mn-ea"/>
            <a:cs typeface="Arial" panose="020B0604020202020204" pitchFamily="34" charset="0"/>
          </a:endParaRPr>
        </a:p>
      </xdr:txBody>
    </xdr:sp>
    <xdr:clientData/>
  </xdr:twoCellAnchor>
  <xdr:twoCellAnchor>
    <xdr:from>
      <xdr:col>3</xdr:col>
      <xdr:colOff>442917</xdr:colOff>
      <xdr:row>19</xdr:row>
      <xdr:rowOff>180975</xdr:rowOff>
    </xdr:from>
    <xdr:to>
      <xdr:col>12</xdr:col>
      <xdr:colOff>63501</xdr:colOff>
      <xdr:row>32</xdr:row>
      <xdr:rowOff>28575</xdr:rowOff>
    </xdr:to>
    <xdr:sp macro="" textlink="">
      <xdr:nvSpPr>
        <xdr:cNvPr id="6" name="TextBox 5">
          <a:extLst>
            <a:ext uri="{FF2B5EF4-FFF2-40B4-BE49-F238E27FC236}">
              <a16:creationId xmlns:a16="http://schemas.microsoft.com/office/drawing/2014/main" xmlns="" id="{00000000-0008-0000-0100-000006000000}"/>
            </a:ext>
          </a:extLst>
        </xdr:cNvPr>
        <xdr:cNvSpPr txBox="1"/>
      </xdr:nvSpPr>
      <xdr:spPr>
        <a:xfrm>
          <a:off x="7072317" y="7381875"/>
          <a:ext cx="5954709" cy="63246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ru-RU" sz="1100" b="1">
              <a:solidFill>
                <a:schemeClr val="dk1"/>
              </a:solidFill>
              <a:effectLst/>
              <a:latin typeface="+mn-lt"/>
              <a:ea typeface="+mn-ea"/>
              <a:cs typeface="+mn-cs"/>
            </a:rPr>
            <a:t>Техническая поддержка</a:t>
          </a:r>
          <a:endParaRPr lang="ru-RU">
            <a:effectLst/>
          </a:endParaRPr>
        </a:p>
        <a:p>
          <a:pPr eaLnBrk="1" fontAlgn="auto" latinLnBrk="0" hangingPunct="1"/>
          <a:r>
            <a:rPr lang="ru-RU" sz="1100" b="0" i="0" baseline="0">
              <a:solidFill>
                <a:schemeClr val="dk1"/>
              </a:solidFill>
              <a:effectLst/>
              <a:latin typeface="+mn-lt"/>
              <a:ea typeface="+mn-ea"/>
              <a:cs typeface="+mn-cs"/>
            </a:rPr>
            <a:t>При первичном приобретении гарантийное сопровождение (основной пакет) в течение 1 года включено в стоимость (окончание артикула </a:t>
          </a:r>
          <a:r>
            <a:rPr lang="en-US" sz="1100" b="1" i="0" baseline="0">
              <a:solidFill>
                <a:schemeClr val="dk1"/>
              </a:solidFill>
              <a:effectLst/>
              <a:latin typeface="+mn-lt"/>
              <a:ea typeface="+mn-ea"/>
              <a:cs typeface="+mn-cs"/>
            </a:rPr>
            <a:t>z = 12M</a:t>
          </a:r>
          <a:r>
            <a:rPr lang="ru-RU" sz="1100" b="0" i="0" baseline="0">
              <a:solidFill>
                <a:schemeClr val="dk1"/>
              </a:solidFill>
              <a:effectLst/>
              <a:latin typeface="+mn-lt"/>
              <a:ea typeface="+mn-ea"/>
              <a:cs typeface="+mn-cs"/>
            </a:rPr>
            <a:t>).</a:t>
          </a:r>
          <a:r>
            <a:rPr lang="en-US" sz="1100" b="0" i="0" baseline="0">
              <a:solidFill>
                <a:schemeClr val="dk1"/>
              </a:solidFill>
              <a:effectLst/>
              <a:latin typeface="+mn-lt"/>
              <a:ea typeface="+mn-ea"/>
              <a:cs typeface="+mn-cs"/>
            </a:rPr>
            <a:t> </a:t>
          </a:r>
          <a:r>
            <a:rPr lang="ru-RU" sz="1100" b="0" i="0" baseline="0">
              <a:solidFill>
                <a:schemeClr val="dk1"/>
              </a:solidFill>
              <a:effectLst/>
              <a:latin typeface="+mn-lt"/>
              <a:ea typeface="+mn-ea"/>
              <a:cs typeface="+mn-cs"/>
            </a:rPr>
            <a:t>В случае приобретения лицензий с гарантийным сопровождением (основной пакет) на 3 года стоимость лицензии умножается на коэффициент </a:t>
          </a:r>
          <a:r>
            <a:rPr lang="ru-RU" sz="1100" b="1" i="0" baseline="0">
              <a:solidFill>
                <a:schemeClr val="dk1"/>
              </a:solidFill>
              <a:effectLst/>
              <a:latin typeface="+mn-lt"/>
              <a:ea typeface="+mn-ea"/>
              <a:cs typeface="+mn-cs"/>
            </a:rPr>
            <a:t>1,35</a:t>
          </a:r>
          <a:r>
            <a:rPr lang="ru-RU" sz="1100" b="0" i="0" baseline="0">
              <a:solidFill>
                <a:schemeClr val="dk1"/>
              </a:solidFill>
              <a:effectLst/>
              <a:latin typeface="+mn-lt"/>
              <a:ea typeface="+mn-ea"/>
              <a:cs typeface="+mn-cs"/>
            </a:rPr>
            <a:t> (</a:t>
          </a:r>
          <a:r>
            <a:rPr lang="en-US" sz="1100" b="1" i="0" baseline="0">
              <a:solidFill>
                <a:schemeClr val="dk1"/>
              </a:solidFill>
              <a:effectLst/>
              <a:latin typeface="+mn-lt"/>
              <a:ea typeface="+mn-ea"/>
              <a:cs typeface="+mn-cs"/>
            </a:rPr>
            <a:t>z = 36M</a:t>
          </a:r>
          <a:r>
            <a:rPr lang="ru-RU" sz="1100" b="0" i="0" baseline="0">
              <a:solidFill>
                <a:schemeClr val="dk1"/>
              </a:solidFill>
              <a:effectLst/>
              <a:latin typeface="+mn-lt"/>
              <a:ea typeface="+mn-ea"/>
              <a:cs typeface="+mn-cs"/>
            </a:rPr>
            <a:t>). При первичном приобретении с техническим сопровождением расширенного пакета «24х7» окончания артикулов </a:t>
          </a:r>
          <a:r>
            <a:rPr lang="en-US" sz="1100" b="1" i="0" baseline="0">
              <a:solidFill>
                <a:schemeClr val="dk1"/>
              </a:solidFill>
              <a:effectLst/>
              <a:latin typeface="+mn-lt"/>
              <a:ea typeface="+mn-ea"/>
              <a:cs typeface="+mn-cs"/>
            </a:rPr>
            <a:t>12M</a:t>
          </a:r>
          <a:r>
            <a:rPr lang="en-US" sz="1100" b="0" i="0" baseline="0">
              <a:solidFill>
                <a:schemeClr val="dk1"/>
              </a:solidFill>
              <a:effectLst/>
              <a:latin typeface="+mn-lt"/>
              <a:ea typeface="+mn-ea"/>
              <a:cs typeface="+mn-cs"/>
            </a:rPr>
            <a:t>, </a:t>
          </a:r>
          <a:r>
            <a:rPr lang="en-US" sz="1100" b="1" i="0" baseline="0">
              <a:solidFill>
                <a:schemeClr val="dk1"/>
              </a:solidFill>
              <a:effectLst/>
              <a:latin typeface="+mn-lt"/>
              <a:ea typeface="+mn-ea"/>
              <a:cs typeface="+mn-cs"/>
            </a:rPr>
            <a:t>36M</a:t>
          </a:r>
          <a:r>
            <a:rPr lang="ru-RU" sz="1100" b="0" i="0" baseline="0">
              <a:solidFill>
                <a:schemeClr val="dk1"/>
              </a:solidFill>
              <a:effectLst/>
              <a:latin typeface="+mn-lt"/>
              <a:ea typeface="+mn-ea"/>
              <a:cs typeface="+mn-cs"/>
            </a:rPr>
            <a:t> заменяются на </a:t>
          </a:r>
          <a:r>
            <a:rPr lang="en-US" sz="1100" b="1" i="0" baseline="0">
              <a:solidFill>
                <a:schemeClr val="dk1"/>
              </a:solidFill>
              <a:effectLst/>
              <a:latin typeface="+mn-lt"/>
              <a:ea typeface="+mn-ea"/>
              <a:cs typeface="+mn-cs"/>
            </a:rPr>
            <a:t>12M247</a:t>
          </a:r>
          <a:r>
            <a:rPr lang="ru-RU" sz="1100" b="0" i="0" baseline="0">
              <a:solidFill>
                <a:schemeClr val="dk1"/>
              </a:solidFill>
              <a:effectLst/>
              <a:latin typeface="+mn-lt"/>
              <a:ea typeface="+mn-ea"/>
              <a:cs typeface="+mn-cs"/>
            </a:rPr>
            <a:t>, </a:t>
          </a:r>
          <a:r>
            <a:rPr lang="en-US" sz="1100" b="1" i="0" baseline="0">
              <a:solidFill>
                <a:schemeClr val="dk1"/>
              </a:solidFill>
              <a:effectLst/>
              <a:latin typeface="+mn-lt"/>
              <a:ea typeface="+mn-ea"/>
              <a:cs typeface="+mn-cs"/>
            </a:rPr>
            <a:t>36M247</a:t>
          </a:r>
          <a:r>
            <a:rPr lang="en-US" sz="1100" b="0" i="0" baseline="0">
              <a:solidFill>
                <a:schemeClr val="dk1"/>
              </a:solidFill>
              <a:effectLst/>
              <a:latin typeface="+mn-lt"/>
              <a:ea typeface="+mn-ea"/>
              <a:cs typeface="+mn-cs"/>
            </a:rPr>
            <a:t> </a:t>
          </a:r>
          <a:r>
            <a:rPr lang="ru-RU" sz="1100" b="0" i="0" baseline="0">
              <a:solidFill>
                <a:schemeClr val="dk1"/>
              </a:solidFill>
              <a:effectLst/>
              <a:latin typeface="+mn-lt"/>
              <a:ea typeface="+mn-ea"/>
              <a:cs typeface="+mn-cs"/>
            </a:rPr>
            <a:t>соответственно.</a:t>
          </a:r>
          <a:r>
            <a:rPr lang="en-US" sz="1100" b="0" i="0" baseline="0">
              <a:solidFill>
                <a:schemeClr val="dk1"/>
              </a:solidFill>
              <a:effectLst/>
              <a:latin typeface="+mn-lt"/>
              <a:ea typeface="+mn-ea"/>
              <a:cs typeface="+mn-cs"/>
            </a:rPr>
            <a:t> </a:t>
          </a:r>
          <a:r>
            <a:rPr lang="ru-RU" sz="1100" b="0" i="0" baseline="0">
              <a:solidFill>
                <a:schemeClr val="dk1"/>
              </a:solidFill>
              <a:effectLst/>
              <a:latin typeface="+mn-lt"/>
              <a:ea typeface="+mn-ea"/>
              <a:cs typeface="+mn-cs"/>
            </a:rPr>
            <a:t>Продление технического сопровождения оформляется в виде сертификата на код активации технической поддержки. </a:t>
          </a:r>
          <a:r>
            <a:rPr lang="ru-RU" sz="1100">
              <a:solidFill>
                <a:schemeClr val="dk1"/>
              </a:solidFill>
              <a:effectLst/>
              <a:latin typeface="+mn-lt"/>
              <a:ea typeface="+mn-ea"/>
              <a:cs typeface="+mn-cs"/>
            </a:rPr>
            <a:t>Сертификат передается по УПД или товарной накладной по форме ТОРГ-12 с оформлением счета-фактуры.</a:t>
          </a:r>
        </a:p>
        <a:p>
          <a:pPr eaLnBrk="1" fontAlgn="auto" latinLnBrk="0" hangingPunct="1"/>
          <a:endParaRPr lang="ru-RU">
            <a:effectLst/>
          </a:endParaRPr>
        </a:p>
        <a:p>
          <a:pPr eaLnBrk="1" fontAlgn="auto" latinLnBrk="0" hangingPunct="1"/>
          <a:r>
            <a:rPr lang="ru-RU" sz="1100" b="0" i="0" baseline="0">
              <a:solidFill>
                <a:schemeClr val="dk1"/>
              </a:solidFill>
              <a:effectLst/>
              <a:latin typeface="+mn-lt"/>
              <a:ea typeface="+mn-ea"/>
              <a:cs typeface="+mn-cs"/>
            </a:rPr>
            <a:t>Стоимость последующего технического сопровождения (основной пакет) составляет 20% (15% для лицензий с артикулом </a:t>
          </a:r>
          <a:r>
            <a:rPr lang="en-US" sz="1100" b="0" i="0" baseline="0">
              <a:solidFill>
                <a:schemeClr val="dk1"/>
              </a:solidFill>
              <a:effectLst/>
              <a:latin typeface="+mn-lt"/>
              <a:ea typeface="+mn-ea"/>
              <a:cs typeface="+mn-cs"/>
            </a:rPr>
            <a:t>*</a:t>
          </a:r>
          <a:r>
            <a:rPr lang="ru-RU" sz="1100" b="0" i="0" baseline="0">
              <a:solidFill>
                <a:schemeClr val="dk1"/>
              </a:solidFill>
              <a:effectLst/>
              <a:latin typeface="+mn-lt"/>
              <a:ea typeface="+mn-ea"/>
              <a:cs typeface="+mn-cs"/>
            </a:rPr>
            <a:t>.36</a:t>
          </a:r>
          <a:r>
            <a:rPr lang="en-US" sz="1100" b="0" i="0" baseline="0">
              <a:solidFill>
                <a:schemeClr val="dk1"/>
              </a:solidFill>
              <a:effectLst/>
              <a:latin typeface="+mn-lt"/>
              <a:ea typeface="+mn-ea"/>
              <a:cs typeface="+mn-cs"/>
            </a:rPr>
            <a:t>M</a:t>
          </a:r>
          <a:r>
            <a:rPr lang="ru-RU" sz="1100" b="0" i="0" baseline="0">
              <a:solidFill>
                <a:schemeClr val="dk1"/>
              </a:solidFill>
              <a:effectLst/>
              <a:latin typeface="+mn-lt"/>
              <a:ea typeface="+mn-ea"/>
              <a:cs typeface="+mn-cs"/>
            </a:rPr>
            <a:t>) от стоимости лицензий в год. При оплате технического сопровождения (основной пакет) вперед на 3 года действует скидка – стоимость продления составит 55% (40% для лицензий с артикулом </a:t>
          </a:r>
          <a:r>
            <a:rPr lang="en-US" sz="1100" b="0" i="0" baseline="0">
              <a:solidFill>
                <a:schemeClr val="dk1"/>
              </a:solidFill>
              <a:effectLst/>
              <a:latin typeface="+mn-lt"/>
              <a:ea typeface="+mn-ea"/>
              <a:cs typeface="+mn-cs"/>
            </a:rPr>
            <a:t>*</a:t>
          </a:r>
          <a:r>
            <a:rPr lang="ru-RU" sz="1100" b="0" i="0" baseline="0">
              <a:solidFill>
                <a:schemeClr val="dk1"/>
              </a:solidFill>
              <a:effectLst/>
              <a:latin typeface="+mn-lt"/>
              <a:ea typeface="+mn-ea"/>
              <a:cs typeface="+mn-cs"/>
            </a:rPr>
            <a:t>.36</a:t>
          </a:r>
          <a:r>
            <a:rPr lang="en-US" sz="1100" b="0" i="0" baseline="0">
              <a:solidFill>
                <a:schemeClr val="dk1"/>
              </a:solidFill>
              <a:effectLst/>
              <a:latin typeface="+mn-lt"/>
              <a:ea typeface="+mn-ea"/>
              <a:cs typeface="+mn-cs"/>
            </a:rPr>
            <a:t>M</a:t>
          </a:r>
          <a:r>
            <a:rPr lang="ru-RU" sz="1100" b="0" i="0" baseline="0">
              <a:solidFill>
                <a:schemeClr val="dk1"/>
              </a:solidFill>
              <a:effectLst/>
              <a:latin typeface="+mn-lt"/>
              <a:ea typeface="+mn-ea"/>
              <a:cs typeface="+mn-cs"/>
            </a:rPr>
            <a:t>) от розничной стоимости лицензий. </a:t>
          </a:r>
          <a:endParaRPr lang="ru-RU">
            <a:effectLst/>
          </a:endParaRPr>
        </a:p>
        <a:p>
          <a:pPr algn="l"/>
          <a:endParaRPr lang="ru-RU" sz="1100" b="0" i="0" baseline="0">
            <a:solidFill>
              <a:schemeClr val="dk1"/>
            </a:solidFill>
            <a:effectLst/>
            <a:latin typeface="+mn-lt"/>
            <a:ea typeface="+mn-ea"/>
            <a:cs typeface="+mn-cs"/>
          </a:endParaRPr>
        </a:p>
        <a:p>
          <a:pPr algn="l"/>
          <a:r>
            <a:rPr lang="ru-RU" sz="1100" b="0" i="0" baseline="0">
              <a:solidFill>
                <a:schemeClr val="dk1"/>
              </a:solidFill>
              <a:effectLst/>
              <a:latin typeface="+mn-lt"/>
              <a:ea typeface="+mn-ea"/>
              <a:cs typeface="+mn-cs"/>
            </a:rPr>
            <a:t>Стоимость последующего технического сопровождения (расширенный пакет «24х7») составляет 30% (22% для лицензий с артикулом </a:t>
          </a:r>
          <a:r>
            <a:rPr lang="en-US" sz="1100" b="0" i="0" baseline="0">
              <a:solidFill>
                <a:schemeClr val="dk1"/>
              </a:solidFill>
              <a:effectLst/>
              <a:latin typeface="+mn-lt"/>
              <a:ea typeface="+mn-ea"/>
              <a:cs typeface="+mn-cs"/>
            </a:rPr>
            <a:t>*</a:t>
          </a:r>
          <a:r>
            <a:rPr lang="ru-RU" sz="1100" b="0" i="0" baseline="0">
              <a:solidFill>
                <a:schemeClr val="dk1"/>
              </a:solidFill>
              <a:effectLst/>
              <a:latin typeface="+mn-lt"/>
              <a:ea typeface="+mn-ea"/>
              <a:cs typeface="+mn-cs"/>
            </a:rPr>
            <a:t>.36</a:t>
          </a:r>
          <a:r>
            <a:rPr lang="en-US" sz="1100" b="0" i="0" baseline="0">
              <a:solidFill>
                <a:schemeClr val="dk1"/>
              </a:solidFill>
              <a:effectLst/>
              <a:latin typeface="+mn-lt"/>
              <a:ea typeface="+mn-ea"/>
              <a:cs typeface="+mn-cs"/>
            </a:rPr>
            <a:t>M</a:t>
          </a:r>
          <a:r>
            <a:rPr lang="ru-RU" sz="1100" b="0" i="0" baseline="0">
              <a:solidFill>
                <a:schemeClr val="dk1"/>
              </a:solidFill>
              <a:effectLst/>
              <a:latin typeface="+mn-lt"/>
              <a:ea typeface="+mn-ea"/>
              <a:cs typeface="+mn-cs"/>
            </a:rPr>
            <a:t>) от стоимости лицензий в год. При оплате технического сопровождения (расширенный пакет «24х7») вперед на 3 года действует скидка – стоимость продления составит 80% (60% для лицензий с артикулом </a:t>
          </a:r>
          <a:r>
            <a:rPr lang="en-US" sz="1100" b="0" i="0" baseline="0">
              <a:solidFill>
                <a:schemeClr val="dk1"/>
              </a:solidFill>
              <a:effectLst/>
              <a:latin typeface="+mn-lt"/>
              <a:ea typeface="+mn-ea"/>
              <a:cs typeface="+mn-cs"/>
            </a:rPr>
            <a:t>*</a:t>
          </a:r>
          <a:r>
            <a:rPr lang="ru-RU" sz="1100" b="0" i="0" baseline="0">
              <a:solidFill>
                <a:schemeClr val="dk1"/>
              </a:solidFill>
              <a:effectLst/>
              <a:latin typeface="+mn-lt"/>
              <a:ea typeface="+mn-ea"/>
              <a:cs typeface="+mn-cs"/>
            </a:rPr>
            <a:t>.36</a:t>
          </a:r>
          <a:r>
            <a:rPr lang="en-US" sz="1100" b="0" i="0" baseline="0">
              <a:solidFill>
                <a:schemeClr val="dk1"/>
              </a:solidFill>
              <a:effectLst/>
              <a:latin typeface="+mn-lt"/>
              <a:ea typeface="+mn-ea"/>
              <a:cs typeface="+mn-cs"/>
            </a:rPr>
            <a:t>M</a:t>
          </a:r>
          <a:r>
            <a:rPr lang="ru-RU" sz="1100" b="0" i="0" baseline="0">
              <a:solidFill>
                <a:schemeClr val="dk1"/>
              </a:solidFill>
              <a:effectLst/>
              <a:latin typeface="+mn-lt"/>
              <a:ea typeface="+mn-ea"/>
              <a:cs typeface="+mn-cs"/>
            </a:rPr>
            <a:t>) от стоимости лицензий. При продлении технического сопровождения оплачивается также весь период с момента окончания гарантийного или технического сопровождения.</a:t>
          </a:r>
          <a:endParaRPr lang="ru-RU">
            <a:effectLst/>
          </a:endParaRPr>
        </a:p>
        <a:p>
          <a:pPr algn="l"/>
          <a:r>
            <a:rPr lang="ru-RU" sz="1100" b="0" i="0" baseline="0">
              <a:solidFill>
                <a:schemeClr val="dk1"/>
              </a:solidFill>
              <a:effectLst/>
              <a:latin typeface="+mn-lt"/>
              <a:ea typeface="+mn-ea"/>
              <a:cs typeface="+mn-cs"/>
            </a:rPr>
            <a:t>Стоимость технического сопровождения на устаревших инфраструктурах (при использовании операционных систем с завершившейся поддержкой от вендора, например, таких как </a:t>
          </a:r>
          <a:r>
            <a:rPr lang="en-US" sz="1100" b="0" i="0" baseline="0">
              <a:solidFill>
                <a:schemeClr val="dk1"/>
              </a:solidFill>
              <a:effectLst/>
              <a:latin typeface="+mn-lt"/>
              <a:ea typeface="+mn-ea"/>
              <a:cs typeface="+mn-cs"/>
            </a:rPr>
            <a:t>Windows XP/2003 Server</a:t>
          </a:r>
          <a:r>
            <a:rPr lang="ru-RU" sz="1100" b="0" i="0" baseline="0">
              <a:solidFill>
                <a:schemeClr val="dk1"/>
              </a:solidFill>
              <a:effectLst/>
              <a:latin typeface="+mn-lt"/>
              <a:ea typeface="+mn-ea"/>
              <a:cs typeface="+mn-cs"/>
            </a:rPr>
            <a:t>/</a:t>
          </a:r>
          <a:r>
            <a:rPr lang="en-US" sz="1100" b="0" i="0" baseline="0">
              <a:solidFill>
                <a:schemeClr val="dk1"/>
              </a:solidFill>
              <a:effectLst/>
              <a:latin typeface="+mn-lt"/>
              <a:ea typeface="+mn-ea"/>
              <a:cs typeface="+mn-cs"/>
            </a:rPr>
            <a:t>Windows 7 </a:t>
          </a:r>
          <a:r>
            <a:rPr lang="ru-RU" sz="1100" b="0" i="0" baseline="0">
              <a:solidFill>
                <a:schemeClr val="dk1"/>
              </a:solidFill>
              <a:effectLst/>
              <a:latin typeface="+mn-lt"/>
              <a:ea typeface="+mn-ea"/>
              <a:cs typeface="+mn-cs"/>
            </a:rPr>
            <a:t>и т. д.</a:t>
          </a:r>
          <a:r>
            <a:rPr lang="en-US" sz="1100" b="0" i="0" baseline="0">
              <a:solidFill>
                <a:schemeClr val="dk1"/>
              </a:solidFill>
              <a:effectLst/>
              <a:latin typeface="+mn-lt"/>
              <a:ea typeface="+mn-ea"/>
              <a:cs typeface="+mn-cs"/>
            </a:rPr>
            <a:t>) </a:t>
          </a:r>
          <a:r>
            <a:rPr lang="ru-RU" sz="1100" b="0" i="0" baseline="0">
              <a:solidFill>
                <a:schemeClr val="dk1"/>
              </a:solidFill>
              <a:effectLst/>
              <a:latin typeface="+mn-lt"/>
              <a:ea typeface="+mn-ea"/>
              <a:cs typeface="+mn-cs"/>
            </a:rPr>
            <a:t>удваивается.</a:t>
          </a:r>
        </a:p>
        <a:p>
          <a:pPr algn="l"/>
          <a:endParaRPr lang="ru-RU">
            <a:effectLst/>
          </a:endParaRPr>
        </a:p>
        <a:p>
          <a:pPr algn="l"/>
          <a:r>
            <a:rPr lang="ru-RU" sz="1100" b="0" i="0" baseline="0">
              <a:solidFill>
                <a:schemeClr val="dk1"/>
              </a:solidFill>
              <a:effectLst/>
              <a:latin typeface="+mn-lt"/>
              <a:ea typeface="+mn-ea"/>
              <a:cs typeface="+mn-cs"/>
            </a:rPr>
            <a:t>Пользователи программного обеспечения </a:t>
          </a:r>
          <a:r>
            <a:rPr lang="en-US" sz="1100" b="0" i="0" baseline="0">
              <a:solidFill>
                <a:schemeClr val="dk1"/>
              </a:solidFill>
              <a:effectLst/>
              <a:latin typeface="+mn-lt"/>
              <a:ea typeface="+mn-ea"/>
              <a:cs typeface="+mn-cs"/>
            </a:rPr>
            <a:t>Dallas Lock </a:t>
          </a:r>
          <a:r>
            <a:rPr lang="ru-RU" sz="1100" b="0" i="0" baseline="0">
              <a:solidFill>
                <a:schemeClr val="dk1"/>
              </a:solidFill>
              <a:effectLst/>
              <a:latin typeface="+mn-lt"/>
              <a:ea typeface="+mn-ea"/>
              <a:cs typeface="+mn-cs"/>
            </a:rPr>
            <a:t>в рамках гарантийного или непрерывно действующего технического сопровождения имеют право бесплатного обновления лицензий до следующей версии этого решения (с тем же объемом функциональности). Оплачивается только стоимость новых сертифицированных комплектов для установки и 1 год (3 года для лицензий с артикулом </a:t>
          </a:r>
          <a:r>
            <a:rPr lang="en-US" sz="1100" b="0" i="0" baseline="0">
              <a:solidFill>
                <a:schemeClr val="dk1"/>
              </a:solidFill>
              <a:effectLst/>
              <a:latin typeface="+mn-lt"/>
              <a:ea typeface="+mn-ea"/>
              <a:cs typeface="+mn-cs"/>
            </a:rPr>
            <a:t>*</a:t>
          </a:r>
          <a:r>
            <a:rPr lang="ru-RU" sz="1100" b="0" i="0" baseline="0">
              <a:solidFill>
                <a:schemeClr val="dk1"/>
              </a:solidFill>
              <a:effectLst/>
              <a:latin typeface="+mn-lt"/>
              <a:ea typeface="+mn-ea"/>
              <a:cs typeface="+mn-cs"/>
            </a:rPr>
            <a:t>.36</a:t>
          </a:r>
          <a:r>
            <a:rPr lang="en-US" sz="1100" b="0" i="0" baseline="0">
              <a:solidFill>
                <a:schemeClr val="dk1"/>
              </a:solidFill>
              <a:effectLst/>
              <a:latin typeface="+mn-lt"/>
              <a:ea typeface="+mn-ea"/>
              <a:cs typeface="+mn-cs"/>
            </a:rPr>
            <a:t>M</a:t>
          </a:r>
          <a:r>
            <a:rPr lang="ru-RU" sz="1100" b="0" i="0" baseline="0">
              <a:solidFill>
                <a:schemeClr val="dk1"/>
              </a:solidFill>
              <a:effectLst/>
              <a:latin typeface="+mn-lt"/>
              <a:ea typeface="+mn-ea"/>
              <a:cs typeface="+mn-cs"/>
            </a:rPr>
            <a:t>) технической поддержки.</a:t>
          </a:r>
        </a:p>
        <a:p>
          <a:pPr algn="l"/>
          <a:endParaRPr lang="ru-RU" sz="1100" b="0" i="0" baseline="0">
            <a:solidFill>
              <a:schemeClr val="dk1"/>
            </a:solidFill>
            <a:effectLst/>
            <a:latin typeface="+mn-lt"/>
            <a:ea typeface="+mn-ea"/>
            <a:cs typeface="+mn-cs"/>
          </a:endParaRPr>
        </a:p>
        <a:p>
          <a:pPr algn="l"/>
          <a:r>
            <a:rPr lang="ru-RU" sz="1100" b="0" i="0" baseline="0">
              <a:solidFill>
                <a:schemeClr val="dk1"/>
              </a:solidFill>
              <a:effectLst/>
              <a:latin typeface="+mn-lt"/>
              <a:ea typeface="+mn-ea"/>
              <a:cs typeface="+mn-cs"/>
            </a:rPr>
            <a:t>Продление технической поддержки на ранее приобретённые лицензии с артикулами </a:t>
          </a:r>
          <a:r>
            <a:rPr lang="en-US" sz="1100" b="0" i="0" baseline="0">
              <a:solidFill>
                <a:schemeClr val="dk1"/>
              </a:solidFill>
              <a:effectLst/>
              <a:latin typeface="+mn-lt"/>
              <a:ea typeface="+mn-ea"/>
              <a:cs typeface="+mn-cs"/>
            </a:rPr>
            <a:t>DLVI.S.HOST</a:t>
          </a:r>
          <a:r>
            <a:rPr lang="ru-RU" sz="1100" b="0" i="0" baseline="0">
              <a:solidFill>
                <a:schemeClr val="dk1"/>
              </a:solidFill>
              <a:effectLst/>
              <a:latin typeface="+mn-lt"/>
              <a:ea typeface="+mn-ea"/>
              <a:cs typeface="+mn-cs"/>
            </a:rPr>
            <a:t>.*, </a:t>
          </a:r>
          <a:r>
            <a:rPr lang="en-US" sz="1100" b="0" i="0" baseline="0">
              <a:solidFill>
                <a:schemeClr val="dk1"/>
              </a:solidFill>
              <a:effectLst/>
              <a:latin typeface="+mn-lt"/>
              <a:ea typeface="+mn-ea"/>
              <a:cs typeface="+mn-cs"/>
            </a:rPr>
            <a:t>DLVI.S.HOSTHV.*, DLVI.C.HCPU-STD.*, DLVI.C.HCPU-ENT.*, DLVI.S.HOSTUNI. </a:t>
          </a:r>
          <a:r>
            <a:rPr lang="ru-RU" sz="1100" b="0" i="0" baseline="0">
              <a:solidFill>
                <a:schemeClr val="dk1"/>
              </a:solidFill>
              <a:effectLst/>
              <a:latin typeface="+mn-lt"/>
              <a:ea typeface="+mn-ea"/>
              <a:cs typeface="+mn-cs"/>
            </a:rPr>
            <a:t>осуществляется путём обновления этих лицензий до </a:t>
          </a:r>
          <a:r>
            <a:rPr lang="en-US" sz="1100" b="0" i="0" baseline="0">
              <a:solidFill>
                <a:schemeClr val="dk1"/>
              </a:solidFill>
              <a:effectLst/>
              <a:latin typeface="+mn-lt"/>
              <a:ea typeface="+mn-ea"/>
              <a:cs typeface="+mn-cs"/>
            </a:rPr>
            <a:t>DLVI.S.ESXI-KVM-ENT. </a:t>
          </a:r>
          <a:r>
            <a:rPr lang="ru-RU" sz="1100" b="0" i="0" baseline="0">
              <a:solidFill>
                <a:schemeClr val="dk1"/>
              </a:solidFill>
              <a:effectLst/>
              <a:latin typeface="+mn-lt"/>
              <a:ea typeface="+mn-ea"/>
              <a:cs typeface="+mn-cs"/>
            </a:rPr>
            <a:t>или</a:t>
          </a:r>
          <a:r>
            <a:rPr lang="en-US" sz="1100" b="0" i="0" baseline="0">
              <a:solidFill>
                <a:schemeClr val="dk1"/>
              </a:solidFill>
              <a:effectLst/>
              <a:latin typeface="+mn-lt"/>
              <a:ea typeface="+mn-ea"/>
              <a:cs typeface="+mn-cs"/>
            </a:rPr>
            <a:t> DLVI.S.ESXI-KVM-HV-ENT. </a:t>
          </a:r>
          <a:endParaRPr lang="ru-RU">
            <a:effectLst/>
          </a:endParaRPr>
        </a:p>
        <a:p>
          <a:pPr algn="l" eaLnBrk="1" fontAlgn="auto" latinLnBrk="0" hangingPunct="1"/>
          <a:endParaRPr lang="ru-RU">
            <a:effectLst/>
          </a:endParaRPr>
        </a:p>
      </xdr:txBody>
    </xdr:sp>
    <xdr:clientData/>
  </xdr:twoCellAnchor>
  <xdr:twoCellAnchor>
    <xdr:from>
      <xdr:col>1</xdr:col>
      <xdr:colOff>121676</xdr:colOff>
      <xdr:row>50</xdr:row>
      <xdr:rowOff>137559</xdr:rowOff>
    </xdr:from>
    <xdr:to>
      <xdr:col>13</xdr:col>
      <xdr:colOff>6350</xdr:colOff>
      <xdr:row>58</xdr:row>
      <xdr:rowOff>75797</xdr:rowOff>
    </xdr:to>
    <xdr:grpSp>
      <xdr:nvGrpSpPr>
        <xdr:cNvPr id="7" name="Группа 6">
          <a:extLst>
            <a:ext uri="{FF2B5EF4-FFF2-40B4-BE49-F238E27FC236}">
              <a16:creationId xmlns:a16="http://schemas.microsoft.com/office/drawing/2014/main" xmlns="" id="{00000000-0008-0000-0100-000007000000}"/>
            </a:ext>
          </a:extLst>
        </xdr:cNvPr>
        <xdr:cNvGrpSpPr/>
      </xdr:nvGrpSpPr>
      <xdr:grpSpPr>
        <a:xfrm>
          <a:off x="207401" y="17692134"/>
          <a:ext cx="12848199" cy="1462238"/>
          <a:chOff x="-236381" y="17282488"/>
          <a:chExt cx="12508362" cy="1210881"/>
        </a:xfrm>
      </xdr:grpSpPr>
      <xdr:sp macro="" textlink="">
        <xdr:nvSpPr>
          <xdr:cNvPr id="8" name="TextBox 7">
            <a:extLst>
              <a:ext uri="{FF2B5EF4-FFF2-40B4-BE49-F238E27FC236}">
                <a16:creationId xmlns:a16="http://schemas.microsoft.com/office/drawing/2014/main" xmlns="" id="{00000000-0008-0000-0100-000008000000}"/>
              </a:ext>
            </a:extLst>
          </xdr:cNvPr>
          <xdr:cNvSpPr txBox="1"/>
        </xdr:nvSpPr>
        <xdr:spPr>
          <a:xfrm>
            <a:off x="-226219" y="17464669"/>
            <a:ext cx="12372975" cy="1028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0" i="0" u="none" strike="noStrike" baseline="0">
                <a:solidFill>
                  <a:schemeClr val="dk1"/>
                </a:solidFill>
                <a:latin typeface="+mn-lt"/>
                <a:ea typeface="+mn-ea"/>
                <a:cs typeface="Arial" panose="020B0604020202020204" pitchFamily="34" charset="0"/>
              </a:rPr>
              <a:t>* «x» – </a:t>
            </a:r>
            <a:r>
              <a:rPr lang="ru-RU" sz="1100" b="0" i="0" u="none" strike="noStrike" baseline="0">
                <a:solidFill>
                  <a:schemeClr val="dk1"/>
                </a:solidFill>
                <a:latin typeface="+mn-lt"/>
                <a:ea typeface="+mn-ea"/>
                <a:cs typeface="Arial" panose="020B0604020202020204" pitchFamily="34" charset="0"/>
              </a:rPr>
              <a:t>диапазон количества процессоров; «</a:t>
            </a:r>
            <a:r>
              <a:rPr lang="en-US" sz="1100" b="0" i="0" u="none" strike="noStrike" baseline="0">
                <a:solidFill>
                  <a:schemeClr val="dk1"/>
                </a:solidFill>
                <a:latin typeface="+mn-lt"/>
                <a:ea typeface="+mn-ea"/>
                <a:cs typeface="Arial" panose="020B0604020202020204" pitchFamily="34" charset="0"/>
              </a:rPr>
              <a:t>y» – </a:t>
            </a:r>
            <a:r>
              <a:rPr lang="ru-RU" sz="1100" b="0" i="0" u="none" strike="noStrike" baseline="0">
                <a:solidFill>
                  <a:schemeClr val="dk1"/>
                </a:solidFill>
                <a:latin typeface="+mn-lt"/>
                <a:ea typeface="+mn-ea"/>
                <a:cs typeface="Arial" panose="020B0604020202020204" pitchFamily="34" charset="0"/>
              </a:rPr>
              <a:t>тип системы сертификации: </a:t>
            </a:r>
            <a:r>
              <a:rPr lang="en-US" sz="1100" b="0" i="0" u="none" strike="noStrike" baseline="0">
                <a:solidFill>
                  <a:schemeClr val="dk1"/>
                </a:solidFill>
                <a:latin typeface="+mn-lt"/>
                <a:ea typeface="+mn-ea"/>
                <a:cs typeface="Arial" panose="020B0604020202020204" pitchFamily="34" charset="0"/>
              </a:rPr>
              <a:t>FSTEC (</a:t>
            </a:r>
            <a:r>
              <a:rPr lang="ru-RU" sz="1100" b="0" i="0" u="none" strike="noStrike" baseline="0">
                <a:solidFill>
                  <a:schemeClr val="dk1"/>
                </a:solidFill>
                <a:latin typeface="+mn-lt"/>
                <a:ea typeface="+mn-ea"/>
                <a:cs typeface="Arial" panose="020B0604020202020204" pitchFamily="34" charset="0"/>
              </a:rPr>
              <a:t>ФСТЭК России), </a:t>
            </a:r>
            <a:r>
              <a:rPr lang="en-US" sz="1100" b="0" i="0" u="none" strike="noStrike" baseline="0">
                <a:solidFill>
                  <a:schemeClr val="dk1"/>
                </a:solidFill>
                <a:latin typeface="+mn-lt"/>
                <a:ea typeface="+mn-ea"/>
                <a:cs typeface="Arial" panose="020B0604020202020204" pitchFamily="34" charset="0"/>
              </a:rPr>
              <a:t>MO (</a:t>
            </a:r>
            <a:r>
              <a:rPr lang="ru-RU" sz="1100" b="0" i="0" u="none" strike="noStrike" baseline="0">
                <a:solidFill>
                  <a:schemeClr val="dk1"/>
                </a:solidFill>
                <a:latin typeface="+mn-lt"/>
                <a:ea typeface="+mn-ea"/>
                <a:cs typeface="Arial" panose="020B0604020202020204" pitchFamily="34" charset="0"/>
              </a:rPr>
              <a:t>Минобороны России)</a:t>
            </a:r>
            <a:r>
              <a:rPr lang="ru-RU" sz="1100" b="0" i="0" baseline="0">
                <a:solidFill>
                  <a:schemeClr val="dk1"/>
                </a:solidFill>
                <a:effectLst/>
                <a:latin typeface="+mn-lt"/>
                <a:ea typeface="+mn-ea"/>
                <a:cs typeface="+mn-cs"/>
              </a:rPr>
              <a:t>; «</a:t>
            </a:r>
            <a:r>
              <a:rPr lang="en-US" sz="1100" b="0" i="0" baseline="0">
                <a:solidFill>
                  <a:schemeClr val="dk1"/>
                </a:solidFill>
                <a:effectLst/>
                <a:latin typeface="+mn-lt"/>
                <a:ea typeface="+mn-ea"/>
                <a:cs typeface="+mn-cs"/>
              </a:rPr>
              <a:t>z» – </a:t>
            </a:r>
            <a:r>
              <a:rPr lang="ru-RU" sz="1100" b="0" i="0" baseline="0">
                <a:solidFill>
                  <a:schemeClr val="dk1"/>
                </a:solidFill>
                <a:effectLst/>
                <a:latin typeface="+mn-lt"/>
                <a:ea typeface="+mn-ea"/>
                <a:cs typeface="+mn-cs"/>
              </a:rPr>
              <a:t>срок оказания гарантийного сопровождения: </a:t>
            </a:r>
            <a:r>
              <a:rPr lang="en-US" sz="1100" b="0" i="0" baseline="0">
                <a:solidFill>
                  <a:schemeClr val="dk1"/>
                </a:solidFill>
                <a:effectLst/>
                <a:latin typeface="+mn-lt"/>
                <a:ea typeface="+mn-ea"/>
                <a:cs typeface="+mn-cs"/>
              </a:rPr>
              <a:t>12M </a:t>
            </a:r>
            <a:r>
              <a:rPr lang="ru-RU" sz="1100" b="0" i="0" baseline="0">
                <a:solidFill>
                  <a:schemeClr val="dk1"/>
                </a:solidFill>
                <a:effectLst/>
                <a:latin typeface="+mn-lt"/>
                <a:ea typeface="+mn-ea"/>
                <a:cs typeface="+mn-cs"/>
              </a:rPr>
              <a:t>–</a:t>
            </a:r>
            <a:r>
              <a:rPr lang="en-US" sz="1100" b="0" i="0" baseline="0">
                <a:solidFill>
                  <a:schemeClr val="dk1"/>
                </a:solidFill>
                <a:effectLst/>
                <a:latin typeface="+mn-lt"/>
                <a:ea typeface="+mn-ea"/>
                <a:cs typeface="+mn-cs"/>
              </a:rPr>
              <a:t> </a:t>
            </a:r>
            <a:r>
              <a:rPr lang="ru-RU" sz="1100" b="0" i="0" baseline="0">
                <a:solidFill>
                  <a:schemeClr val="dk1"/>
                </a:solidFill>
                <a:effectLst/>
                <a:latin typeface="+mn-lt"/>
                <a:ea typeface="+mn-ea"/>
                <a:cs typeface="+mn-cs"/>
              </a:rPr>
              <a:t>12 месяцев, 36</a:t>
            </a:r>
            <a:r>
              <a:rPr lang="en-US" sz="1100" b="0" i="0" baseline="0">
                <a:solidFill>
                  <a:schemeClr val="dk1"/>
                </a:solidFill>
                <a:effectLst/>
                <a:latin typeface="+mn-lt"/>
                <a:ea typeface="+mn-ea"/>
                <a:cs typeface="+mn-cs"/>
              </a:rPr>
              <a:t>M </a:t>
            </a:r>
            <a:r>
              <a:rPr lang="ru-RU" sz="1100" b="0" i="0" baseline="0">
                <a:solidFill>
                  <a:schemeClr val="dk1"/>
                </a:solidFill>
                <a:effectLst/>
                <a:latin typeface="+mn-lt"/>
                <a:ea typeface="+mn-ea"/>
                <a:cs typeface="+mn-cs"/>
              </a:rPr>
              <a:t>–</a:t>
            </a:r>
            <a:r>
              <a:rPr lang="en-US" sz="1100" b="0" i="0" baseline="0">
                <a:solidFill>
                  <a:schemeClr val="dk1"/>
                </a:solidFill>
                <a:effectLst/>
                <a:latin typeface="+mn-lt"/>
                <a:ea typeface="+mn-ea"/>
                <a:cs typeface="+mn-cs"/>
              </a:rPr>
              <a:t> </a:t>
            </a:r>
            <a:r>
              <a:rPr lang="ru-RU" sz="1100" b="0" i="0" baseline="0">
                <a:solidFill>
                  <a:schemeClr val="dk1"/>
                </a:solidFill>
                <a:effectLst/>
                <a:latin typeface="+mn-lt"/>
                <a:ea typeface="+mn-ea"/>
                <a:cs typeface="+mn-cs"/>
              </a:rPr>
              <a:t>36 месяцев.</a:t>
            </a:r>
            <a:endParaRPr lang="ru-RU" sz="1100" b="0" i="0" u="none" strike="noStrike" baseline="0">
              <a:solidFill>
                <a:schemeClr val="dk1"/>
              </a:solidFill>
              <a:latin typeface="+mn-lt"/>
              <a:ea typeface="+mn-ea"/>
              <a:cs typeface="Arial" panose="020B0604020202020204" pitchFamily="34" charset="0"/>
            </a:endParaRPr>
          </a:p>
          <a:p>
            <a:r>
              <a:rPr lang="ru-RU" sz="1100" b="0" i="0" u="none" strike="noStrike" baseline="0">
                <a:solidFill>
                  <a:schemeClr val="dk1"/>
                </a:solidFill>
                <a:latin typeface="+mn-lt"/>
                <a:ea typeface="+mn-ea"/>
                <a:cs typeface="Arial" panose="020B0604020202020204" pitchFamily="34" charset="0"/>
              </a:rPr>
              <a:t>** На основании статьи № 149 п. 2 пп. 26 НК РФ стоимость передаваемых неисключительных прав на используемое программное обеспечение не облагается НДС.</a:t>
            </a:r>
          </a:p>
          <a:p>
            <a:r>
              <a:rPr lang="ru-RU" sz="1100" b="0" i="0" u="none" strike="noStrike" baseline="0">
                <a:solidFill>
                  <a:schemeClr val="dk1"/>
                </a:solidFill>
                <a:latin typeface="+mn-lt"/>
                <a:ea typeface="+mn-ea"/>
                <a:cs typeface="Arial" panose="020B0604020202020204" pitchFamily="34" charset="0"/>
              </a:rPr>
              <a:t>*** В стоимость входит НДС 2</a:t>
            </a:r>
            <a:r>
              <a:rPr lang="en-US" sz="1100" b="0" i="0" u="none" strike="noStrike" baseline="0">
                <a:solidFill>
                  <a:schemeClr val="dk1"/>
                </a:solidFill>
                <a:latin typeface="+mn-lt"/>
                <a:ea typeface="+mn-ea"/>
                <a:cs typeface="Arial" panose="020B0604020202020204" pitchFamily="34" charset="0"/>
              </a:rPr>
              <a:t>2</a:t>
            </a:r>
            <a:r>
              <a:rPr lang="ru-RU" sz="1100" b="0" i="0" u="none" strike="noStrike" baseline="0">
                <a:solidFill>
                  <a:schemeClr val="dk1"/>
                </a:solidFill>
                <a:latin typeface="+mn-lt"/>
                <a:ea typeface="+mn-ea"/>
                <a:cs typeface="Arial" panose="020B0604020202020204" pitchFamily="34" charset="0"/>
              </a:rPr>
              <a:t>%. </a:t>
            </a:r>
            <a:endParaRPr lang="ru-RU" sz="1100">
              <a:latin typeface="+mn-lt"/>
              <a:cs typeface="Arial" panose="020B0604020202020204" pitchFamily="34" charset="0"/>
            </a:endParaRPr>
          </a:p>
        </xdr:txBody>
      </xdr:sp>
      <xdr:cxnSp macro="">
        <xdr:nvCxnSpPr>
          <xdr:cNvPr id="9" name="Прямая соединительная линия 8">
            <a:extLst>
              <a:ext uri="{FF2B5EF4-FFF2-40B4-BE49-F238E27FC236}">
                <a16:creationId xmlns:a16="http://schemas.microsoft.com/office/drawing/2014/main" xmlns="" id="{00000000-0008-0000-0100-000009000000}"/>
              </a:ext>
            </a:extLst>
          </xdr:cNvPr>
          <xdr:cNvCxnSpPr/>
        </xdr:nvCxnSpPr>
        <xdr:spPr>
          <a:xfrm>
            <a:off x="-236381" y="17282488"/>
            <a:ext cx="12508362" cy="19386"/>
          </a:xfrm>
          <a:prstGeom prst="line">
            <a:avLst/>
          </a:prstGeom>
        </xdr:spPr>
        <xdr:style>
          <a:lnRef idx="1">
            <a:schemeClr val="dk1"/>
          </a:lnRef>
          <a:fillRef idx="0">
            <a:schemeClr val="dk1"/>
          </a:fillRef>
          <a:effectRef idx="0">
            <a:schemeClr val="dk1"/>
          </a:effectRef>
          <a:fontRef idx="minor">
            <a:schemeClr val="tx1"/>
          </a:fontRef>
        </xdr:style>
      </xdr:cxnSp>
    </xdr:grpSp>
    <xdr:clientData/>
  </xdr:twoCellAnchor>
  <xdr:twoCellAnchor editAs="oneCell">
    <xdr:from>
      <xdr:col>1</xdr:col>
      <xdr:colOff>72390</xdr:colOff>
      <xdr:row>42</xdr:row>
      <xdr:rowOff>4215</xdr:rowOff>
    </xdr:from>
    <xdr:to>
      <xdr:col>13</xdr:col>
      <xdr:colOff>6349</xdr:colOff>
      <xdr:row>45</xdr:row>
      <xdr:rowOff>167863</xdr:rowOff>
    </xdr:to>
    <xdr:pic>
      <xdr:nvPicPr>
        <xdr:cNvPr id="10" name="Рисунок 9">
          <a:extLst>
            <a:ext uri="{FF2B5EF4-FFF2-40B4-BE49-F238E27FC236}">
              <a16:creationId xmlns:a16="http://schemas.microsoft.com/office/drawing/2014/main" xmlns="" id="{00000000-0008-0000-0100-00000A000000}"/>
            </a:ext>
          </a:extLst>
        </xdr:cNvPr>
        <xdr:cNvPicPr>
          <a:picLocks noChangeAspect="1"/>
        </xdr:cNvPicPr>
      </xdr:nvPicPr>
      <xdr:blipFill>
        <a:blip xmlns:r="http://schemas.openxmlformats.org/officeDocument/2006/relationships" r:embed="rId5"/>
        <a:stretch>
          <a:fillRect/>
        </a:stretch>
      </xdr:blipFill>
      <xdr:spPr>
        <a:xfrm>
          <a:off x="158115" y="16034790"/>
          <a:ext cx="12897484" cy="735148"/>
        </a:xfrm>
        <a:prstGeom prst="rect">
          <a:avLst/>
        </a:prstGeom>
      </xdr:spPr>
    </xdr:pic>
    <xdr:clientData/>
  </xdr:twoCellAnchor>
  <xdr:twoCellAnchor editAs="oneCell">
    <xdr:from>
      <xdr:col>1</xdr:col>
      <xdr:colOff>83818</xdr:colOff>
      <xdr:row>38</xdr:row>
      <xdr:rowOff>168910</xdr:rowOff>
    </xdr:from>
    <xdr:to>
      <xdr:col>13</xdr:col>
      <xdr:colOff>9524</xdr:colOff>
      <xdr:row>41</xdr:row>
      <xdr:rowOff>125832</xdr:rowOff>
    </xdr:to>
    <xdr:pic>
      <xdr:nvPicPr>
        <xdr:cNvPr id="11" name="Рисунок 10">
          <a:extLst>
            <a:ext uri="{FF2B5EF4-FFF2-40B4-BE49-F238E27FC236}">
              <a16:creationId xmlns:a16="http://schemas.microsoft.com/office/drawing/2014/main" xmlns="" id="{00000000-0008-0000-0100-00000B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69543" y="15437485"/>
          <a:ext cx="12889231" cy="528422"/>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xdr:col>
          <xdr:colOff>3762375</xdr:colOff>
          <xdr:row>5</xdr:row>
          <xdr:rowOff>0</xdr:rowOff>
        </xdr:from>
        <xdr:to>
          <xdr:col>3</xdr:col>
          <xdr:colOff>57150</xdr:colOff>
          <xdr:row>7</xdr:row>
          <xdr:rowOff>9525</xdr:rowOff>
        </xdr:to>
        <xdr:sp macro="" textlink="">
          <xdr:nvSpPr>
            <xdr:cNvPr id="59393" name="Check Box 1" hidden="1">
              <a:extLst>
                <a:ext uri="{63B3BB69-23CF-44E3-9099-C40C66FF867C}">
                  <a14:compatExt spid="_x0000_s59393"/>
                </a:ext>
                <a:ext uri="{FF2B5EF4-FFF2-40B4-BE49-F238E27FC236}">
                  <a16:creationId xmlns:a16="http://schemas.microsoft.com/office/drawing/2014/main" xmlns="" id="{00000000-0008-0000-0100-000001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504825</xdr:colOff>
          <xdr:row>5</xdr:row>
          <xdr:rowOff>0</xdr:rowOff>
        </xdr:from>
        <xdr:to>
          <xdr:col>11</xdr:col>
          <xdr:colOff>47625</xdr:colOff>
          <xdr:row>7</xdr:row>
          <xdr:rowOff>0</xdr:rowOff>
        </xdr:to>
        <xdr:sp macro="" textlink="">
          <xdr:nvSpPr>
            <xdr:cNvPr id="59394" name="Check Box 2" hidden="1">
              <a:extLst>
                <a:ext uri="{63B3BB69-23CF-44E3-9099-C40C66FF867C}">
                  <a14:compatExt spid="_x0000_s59394"/>
                </a:ext>
                <a:ext uri="{FF2B5EF4-FFF2-40B4-BE49-F238E27FC236}">
                  <a16:creationId xmlns:a16="http://schemas.microsoft.com/office/drawing/2014/main" xmlns="" id="{00000000-0008-0000-0100-000002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107948</xdr:colOff>
      <xdr:row>46</xdr:row>
      <xdr:rowOff>38099</xdr:rowOff>
    </xdr:from>
    <xdr:to>
      <xdr:col>13</xdr:col>
      <xdr:colOff>31750</xdr:colOff>
      <xdr:row>50</xdr:row>
      <xdr:rowOff>9524</xdr:rowOff>
    </xdr:to>
    <xdr:pic>
      <xdr:nvPicPr>
        <xdr:cNvPr id="14" name="Рисунок 13">
          <a:extLst>
            <a:ext uri="{FF2B5EF4-FFF2-40B4-BE49-F238E27FC236}">
              <a16:creationId xmlns:a16="http://schemas.microsoft.com/office/drawing/2014/main" xmlns="" id="{00000000-0008-0000-0100-00000E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87323" y="16802099"/>
          <a:ext cx="12846052" cy="733425"/>
        </a:xfrm>
        <a:prstGeom prst="rect">
          <a:avLst/>
        </a:prstGeom>
      </xdr:spPr>
    </xdr:pic>
    <xdr:clientData/>
  </xdr:twoCellAnchor>
  <xdr:twoCellAnchor editAs="oneCell">
    <xdr:from>
      <xdr:col>0</xdr:col>
      <xdr:colOff>0</xdr:colOff>
      <xdr:row>17</xdr:row>
      <xdr:rowOff>0</xdr:rowOff>
    </xdr:from>
    <xdr:to>
      <xdr:col>13</xdr:col>
      <xdr:colOff>0</xdr:colOff>
      <xdr:row>18</xdr:row>
      <xdr:rowOff>37421</xdr:rowOff>
    </xdr:to>
    <xdr:pic>
      <xdr:nvPicPr>
        <xdr:cNvPr id="15" name="Рисунок 14">
          <a:extLst>
            <a:ext uri="{FF2B5EF4-FFF2-40B4-BE49-F238E27FC236}">
              <a16:creationId xmlns:a16="http://schemas.microsoft.com/office/drawing/2014/main" xmlns="" id="{00000000-0008-0000-0100-00000F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0" y="6302375"/>
          <a:ext cx="13001625" cy="720046"/>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xdr:col>
          <xdr:colOff>28575</xdr:colOff>
          <xdr:row>9</xdr:row>
          <xdr:rowOff>161925</xdr:rowOff>
        </xdr:from>
        <xdr:to>
          <xdr:col>1</xdr:col>
          <xdr:colOff>219075</xdr:colOff>
          <xdr:row>9</xdr:row>
          <xdr:rowOff>542925</xdr:rowOff>
        </xdr:to>
        <xdr:sp macro="" textlink="">
          <xdr:nvSpPr>
            <xdr:cNvPr id="59395" name="Check Box 3" hidden="1">
              <a:extLst>
                <a:ext uri="{63B3BB69-23CF-44E3-9099-C40C66FF867C}">
                  <a14:compatExt spid="_x0000_s59395"/>
                </a:ext>
                <a:ext uri="{FF2B5EF4-FFF2-40B4-BE49-F238E27FC236}">
                  <a16:creationId xmlns:a16="http://schemas.microsoft.com/office/drawing/2014/main" xmlns="" id="{00000000-0008-0000-0100-000003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95249</xdr:colOff>
      <xdr:row>32</xdr:row>
      <xdr:rowOff>172851</xdr:rowOff>
    </xdr:from>
    <xdr:to>
      <xdr:col>13</xdr:col>
      <xdr:colOff>19049</xdr:colOff>
      <xdr:row>38</xdr:row>
      <xdr:rowOff>96651</xdr:rowOff>
    </xdr:to>
    <xdr:pic>
      <xdr:nvPicPr>
        <xdr:cNvPr id="13" name="Рисунок 12">
          <a:extLst>
            <a:ext uri="{FF2B5EF4-FFF2-40B4-BE49-F238E27FC236}">
              <a16:creationId xmlns:a16="http://schemas.microsoft.com/office/drawing/2014/main" xmlns="" id="{00000000-0008-0000-0100-00000D00000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xdr:blipFill>
      <xdr:spPr>
        <a:xfrm>
          <a:off x="180974" y="13850751"/>
          <a:ext cx="12887325" cy="15144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1905</xdr:colOff>
      <xdr:row>32</xdr:row>
      <xdr:rowOff>23962</xdr:rowOff>
    </xdr:from>
    <xdr:to>
      <xdr:col>3</xdr:col>
      <xdr:colOff>107738</xdr:colOff>
      <xdr:row>58</xdr:row>
      <xdr:rowOff>171450</xdr:rowOff>
    </xdr:to>
    <xdr:sp macro="" textlink="">
      <xdr:nvSpPr>
        <xdr:cNvPr id="2" name="TextBox 1">
          <a:extLst>
            <a:ext uri="{FF2B5EF4-FFF2-40B4-BE49-F238E27FC236}">
              <a16:creationId xmlns:a16="http://schemas.microsoft.com/office/drawing/2014/main" xmlns="" id="{00000000-0008-0000-0200-000002000000}"/>
            </a:ext>
          </a:extLst>
        </xdr:cNvPr>
        <xdr:cNvSpPr txBox="1"/>
      </xdr:nvSpPr>
      <xdr:spPr>
        <a:xfrm>
          <a:off x="1905" y="11415862"/>
          <a:ext cx="6668558" cy="910098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ru-RU" sz="1100" b="1">
              <a:solidFill>
                <a:schemeClr val="dk1"/>
              </a:solidFill>
              <a:effectLst/>
              <a:latin typeface="+mn-lt"/>
              <a:ea typeface="+mn-ea"/>
              <a:cs typeface="+mn-cs"/>
            </a:rPr>
            <a:t>Сертифицированный комплект поставки СДЗ ПР </a:t>
          </a:r>
          <a:r>
            <a:rPr lang="ru-RU" sz="1100">
              <a:solidFill>
                <a:schemeClr val="dk1"/>
              </a:solidFill>
              <a:effectLst/>
              <a:latin typeface="+mn-lt"/>
              <a:ea typeface="+mn-ea"/>
              <a:cs typeface="+mn-cs"/>
            </a:rPr>
            <a:t>(программно-аппаратный — уровня платы расширения)</a:t>
          </a:r>
        </a:p>
        <a:p>
          <a:pPr algn="l"/>
          <a:r>
            <a:rPr lang="ru-RU" sz="1100">
              <a:solidFill>
                <a:schemeClr val="dk1"/>
              </a:solidFill>
              <a:effectLst/>
              <a:latin typeface="+mn-lt"/>
              <a:ea typeface="+mn-ea"/>
              <a:cs typeface="+mn-cs"/>
            </a:rPr>
            <a:t>Плата СДЗ </a:t>
          </a:r>
          <a:r>
            <a:rPr lang="en-US" sz="1100">
              <a:solidFill>
                <a:schemeClr val="dk1"/>
              </a:solidFill>
              <a:effectLst/>
              <a:latin typeface="+mn-lt"/>
              <a:ea typeface="+mn-ea"/>
              <a:cs typeface="+mn-cs"/>
            </a:rPr>
            <a:t>Dallas Lock PCI</a:t>
          </a:r>
          <a:r>
            <a:rPr lang="ru-RU" sz="1100">
              <a:solidFill>
                <a:schemeClr val="dk1"/>
              </a:solidFill>
              <a:effectLst/>
              <a:latin typeface="+mn-lt"/>
              <a:ea typeface="+mn-ea"/>
              <a:cs typeface="+mn-cs"/>
            </a:rPr>
            <a:t>-</a:t>
          </a:r>
          <a:r>
            <a:rPr lang="en-US" sz="1100">
              <a:solidFill>
                <a:schemeClr val="dk1"/>
              </a:solidFill>
              <a:effectLst/>
              <a:latin typeface="+mn-lt"/>
              <a:ea typeface="+mn-ea"/>
              <a:cs typeface="+mn-cs"/>
            </a:rPr>
            <a:t>E Full Size</a:t>
          </a:r>
          <a:r>
            <a:rPr lang="ru-RU" sz="1100">
              <a:solidFill>
                <a:schemeClr val="dk1"/>
              </a:solidFill>
              <a:effectLst/>
              <a:latin typeface="+mn-lt"/>
              <a:ea typeface="+mn-ea"/>
              <a:cs typeface="+mn-cs"/>
            </a:rPr>
            <a:t> с полноразмерной крепежной планкой или плата СДЗ </a:t>
          </a:r>
          <a:r>
            <a:rPr lang="en-US" sz="1100">
              <a:solidFill>
                <a:schemeClr val="dk1"/>
              </a:solidFill>
              <a:effectLst/>
              <a:latin typeface="+mn-lt"/>
              <a:ea typeface="+mn-ea"/>
              <a:cs typeface="+mn-cs"/>
            </a:rPr>
            <a:t>Dallas Lock Mini PCI</a:t>
          </a:r>
          <a:r>
            <a:rPr lang="ru-RU" sz="1100">
              <a:solidFill>
                <a:schemeClr val="dk1"/>
              </a:solidFill>
              <a:effectLst/>
              <a:latin typeface="+mn-lt"/>
              <a:ea typeface="+mn-ea"/>
              <a:cs typeface="+mn-cs"/>
            </a:rPr>
            <a:t>-</a:t>
          </a:r>
          <a:r>
            <a:rPr lang="en-US" sz="1100">
              <a:solidFill>
                <a:schemeClr val="dk1"/>
              </a:solidFill>
              <a:effectLst/>
              <a:latin typeface="+mn-lt"/>
              <a:ea typeface="+mn-ea"/>
              <a:cs typeface="+mn-cs"/>
            </a:rPr>
            <a:t>E Half Size</a:t>
          </a:r>
          <a:r>
            <a:rPr lang="ru-RU" sz="1100">
              <a:solidFill>
                <a:schemeClr val="dk1"/>
              </a:solidFill>
              <a:effectLst/>
              <a:latin typeface="+mn-lt"/>
              <a:ea typeface="+mn-ea"/>
              <a:cs typeface="+mn-cs"/>
            </a:rPr>
            <a:t> без планки или плата СДЗ </a:t>
          </a:r>
          <a:r>
            <a:rPr lang="en-US" sz="1100">
              <a:solidFill>
                <a:schemeClr val="dk1"/>
              </a:solidFill>
              <a:effectLst/>
              <a:latin typeface="+mn-lt"/>
              <a:ea typeface="+mn-ea"/>
              <a:cs typeface="+mn-cs"/>
            </a:rPr>
            <a:t>Dallas Lock M</a:t>
          </a:r>
          <a:r>
            <a:rPr lang="ru-RU" sz="1100">
              <a:solidFill>
                <a:schemeClr val="dk1"/>
              </a:solidFill>
              <a:effectLst/>
              <a:latin typeface="+mn-lt"/>
              <a:ea typeface="+mn-ea"/>
              <a:cs typeface="+mn-cs"/>
            </a:rPr>
            <a:t>.2 без планки или СДЗ </a:t>
          </a:r>
          <a:r>
            <a:rPr lang="en-US" sz="1100">
              <a:solidFill>
                <a:schemeClr val="dk1"/>
              </a:solidFill>
              <a:effectLst/>
              <a:latin typeface="+mn-lt"/>
              <a:ea typeface="+mn-ea"/>
              <a:cs typeface="+mn-cs"/>
            </a:rPr>
            <a:t>Dallas Lock USB</a:t>
          </a:r>
          <a:r>
            <a:rPr lang="ru-RU" sz="1100">
              <a:solidFill>
                <a:schemeClr val="dk1"/>
              </a:solidFill>
              <a:effectLst/>
              <a:latin typeface="+mn-lt"/>
              <a:ea typeface="+mn-ea"/>
              <a:cs typeface="+mn-cs"/>
            </a:rPr>
            <a:t>; провод сторожевого таймера; компакт-диск с ПО и документацией в электронном виде; формуляр; копия сертификата ФСТЭК России; краткое руководство.</a:t>
          </a:r>
        </a:p>
        <a:p>
          <a:pPr algn="l"/>
          <a:endParaRPr lang="ru-RU" sz="1100">
            <a:solidFill>
              <a:schemeClr val="dk1"/>
            </a:solidFill>
            <a:effectLst/>
            <a:latin typeface="+mn-lt"/>
            <a:ea typeface="+mn-ea"/>
            <a:cs typeface="+mn-cs"/>
          </a:endParaRPr>
        </a:p>
        <a:p>
          <a:pPr rtl="0" eaLnBrk="1" latinLnBrk="0" hangingPunct="1"/>
          <a:r>
            <a:rPr lang="ru-RU" sz="1100" b="1">
              <a:solidFill>
                <a:schemeClr val="dk1"/>
              </a:solidFill>
              <a:effectLst/>
              <a:latin typeface="+mn-lt"/>
              <a:ea typeface="+mn-ea"/>
              <a:cs typeface="+mn-cs"/>
            </a:rPr>
            <a:t>СДЗ </a:t>
          </a:r>
          <a:r>
            <a:rPr lang="en-US" sz="1100" b="1">
              <a:solidFill>
                <a:schemeClr val="dk1"/>
              </a:solidFill>
              <a:effectLst/>
              <a:latin typeface="+mn-lt"/>
              <a:ea typeface="+mn-ea"/>
              <a:cs typeface="+mn-cs"/>
            </a:rPr>
            <a:t>Dallas Lock</a:t>
          </a:r>
          <a:r>
            <a:rPr lang="en-US" sz="1100" b="1" baseline="0">
              <a:solidFill>
                <a:schemeClr val="dk1"/>
              </a:solidFill>
              <a:effectLst/>
              <a:latin typeface="+mn-lt"/>
              <a:ea typeface="+mn-ea"/>
              <a:cs typeface="+mn-cs"/>
            </a:rPr>
            <a:t> USB</a:t>
          </a:r>
          <a:r>
            <a:rPr lang="ru-RU" sz="1100" b="1" baseline="0">
              <a:solidFill>
                <a:schemeClr val="dk1"/>
              </a:solidFill>
              <a:effectLst/>
              <a:latin typeface="+mn-lt"/>
              <a:ea typeface="+mn-ea"/>
              <a:cs typeface="+mn-cs"/>
            </a:rPr>
            <a:t>. Планируемый старт продаж — 1 квартал 2027 года после прохождения процедуры сертификации. </a:t>
          </a:r>
          <a:r>
            <a:rPr lang="ru-RU" sz="1100" b="0">
              <a:solidFill>
                <a:schemeClr val="dk1"/>
              </a:solidFill>
              <a:effectLst/>
              <a:latin typeface="+mn-lt"/>
              <a:ea typeface="+mn-ea"/>
              <a:cs typeface="+mn-cs"/>
            </a:rPr>
            <a:t>СДЗ </a:t>
          </a:r>
          <a:r>
            <a:rPr lang="en-US" sz="1100" b="0">
              <a:solidFill>
                <a:schemeClr val="dk1"/>
              </a:solidFill>
              <a:effectLst/>
              <a:latin typeface="+mn-lt"/>
              <a:ea typeface="+mn-ea"/>
              <a:cs typeface="+mn-cs"/>
            </a:rPr>
            <a:t>Dallas Lock</a:t>
          </a:r>
          <a:r>
            <a:rPr lang="en-US" sz="1100" b="0" baseline="0">
              <a:solidFill>
                <a:schemeClr val="dk1"/>
              </a:solidFill>
              <a:effectLst/>
              <a:latin typeface="+mn-lt"/>
              <a:ea typeface="+mn-ea"/>
              <a:cs typeface="+mn-cs"/>
            </a:rPr>
            <a:t> USB</a:t>
          </a:r>
          <a:r>
            <a:rPr lang="ru-RU" sz="1100" b="0" baseline="0">
              <a:solidFill>
                <a:schemeClr val="dk1"/>
              </a:solidFill>
              <a:effectLst/>
              <a:latin typeface="+mn-lt"/>
              <a:ea typeface="+mn-ea"/>
              <a:cs typeface="+mn-cs"/>
            </a:rPr>
            <a:t> поставляется на базе российского </a:t>
          </a:r>
          <a:r>
            <a:rPr lang="ru-RU" sz="1100" b="0">
              <a:solidFill>
                <a:schemeClr val="dk1"/>
              </a:solidFill>
              <a:effectLst/>
              <a:latin typeface="+mn-lt"/>
              <a:ea typeface="+mn-ea"/>
              <a:cs typeface="+mn-cs"/>
            </a:rPr>
            <a:t>микроконтроллера «Миландр»</a:t>
          </a:r>
          <a:r>
            <a:rPr lang="ru-RU" sz="1100" b="0" baseline="0">
              <a:solidFill>
                <a:schemeClr val="dk1"/>
              </a:solidFill>
              <a:effectLst/>
              <a:latin typeface="+mn-lt"/>
              <a:ea typeface="+mn-ea"/>
              <a:cs typeface="+mn-cs"/>
            </a:rPr>
            <a:t> </a:t>
          </a:r>
          <a:r>
            <a:rPr lang="ru-RU" sz="1100">
              <a:solidFill>
                <a:schemeClr val="dk1"/>
              </a:solidFill>
              <a:effectLst/>
              <a:latin typeface="+mn-lt"/>
              <a:ea typeface="+mn-ea"/>
              <a:cs typeface="+mn-cs"/>
            </a:rPr>
            <a:t>(МинПромТорг, СТ1).</a:t>
          </a:r>
          <a:r>
            <a:rPr lang="ru-RU" sz="1100" baseline="0">
              <a:solidFill>
                <a:schemeClr val="dk1"/>
              </a:solidFill>
              <a:effectLst/>
              <a:latin typeface="+mn-lt"/>
              <a:ea typeface="+mn-ea"/>
              <a:cs typeface="+mn-cs"/>
            </a:rPr>
            <a:t> </a:t>
          </a:r>
          <a:endParaRPr lang="ru-RU">
            <a:effectLst/>
          </a:endParaRPr>
        </a:p>
        <a:p>
          <a:pPr algn="l"/>
          <a:endParaRPr lang="en-US" sz="110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ru-RU" sz="1100" b="1" i="0">
              <a:solidFill>
                <a:schemeClr val="dk1"/>
              </a:solidFill>
              <a:effectLst/>
              <a:latin typeface="+mn-lt"/>
              <a:ea typeface="+mn-ea"/>
              <a:cs typeface="+mn-cs"/>
            </a:rPr>
            <a:t>В соответствии с требованиями нормативно правовых актов Российской Федерации с </a:t>
          </a:r>
          <a:r>
            <a:rPr lang="ru-RU" sz="1100" b="1" i="0" u="none" strike="noStrike">
              <a:solidFill>
                <a:schemeClr val="dk1"/>
              </a:solidFill>
              <a:effectLst/>
              <a:latin typeface="+mn-lt"/>
              <a:ea typeface="+mn-ea"/>
              <a:cs typeface="+mn-cs"/>
            </a:rPr>
            <a:t>1 марта 2026</a:t>
          </a:r>
          <a:r>
            <a:rPr lang="ru-RU" sz="1100" b="1" i="0">
              <a:solidFill>
                <a:schemeClr val="dk1"/>
              </a:solidFill>
              <a:effectLst/>
              <a:latin typeface="+mn-lt"/>
              <a:ea typeface="+mn-ea"/>
              <a:cs typeface="+mn-cs"/>
            </a:rPr>
            <a:t> года </a:t>
          </a:r>
          <a:r>
            <a:rPr lang="ru-RU" sz="1100" b="0" i="0">
              <a:solidFill>
                <a:schemeClr val="dk1"/>
              </a:solidFill>
              <a:effectLst/>
              <a:latin typeface="+mn-lt"/>
              <a:ea typeface="+mn-ea"/>
              <a:cs typeface="+mn-cs"/>
            </a:rPr>
            <a:t>для объектов информатизации, обрабатывающих сведения, составляющие ГТ, необходимо приобретать  у предприятия изготовителя СДЗ ПР с проведенной  специальной проверкой (СП). Стоимость СП составляет 5000 рублей за одно изделие. Дополнительно оплачиваются  расходы на отправку СпецСвязью материалов СП в адрес конечного Заказчика. Стоимость отправки материалов зависит от региона доставки, предоставляется по запросу. В случае приобретения СДЗ ПР со специальной проверкой к текущим артикулам прибавляется -</a:t>
          </a:r>
          <a:r>
            <a:rPr lang="en-US" sz="1100" b="0" i="0">
              <a:solidFill>
                <a:schemeClr val="dk1"/>
              </a:solidFill>
              <a:effectLst/>
              <a:latin typeface="+mn-lt"/>
              <a:ea typeface="+mn-ea"/>
              <a:cs typeface="+mn-cs"/>
            </a:rPr>
            <a:t>SP.</a:t>
          </a:r>
          <a:endParaRPr lang="ru-RU" sz="1100" b="0" i="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ru-RU" sz="1100">
            <a:solidFill>
              <a:schemeClr val="dk1"/>
            </a:solidFill>
            <a:effectLst/>
            <a:latin typeface="+mn-lt"/>
            <a:ea typeface="+mn-ea"/>
            <a:cs typeface="+mn-cs"/>
          </a:endParaRPr>
        </a:p>
        <a:p>
          <a:pPr algn="l"/>
          <a:r>
            <a:rPr lang="ru-RU" sz="1100" b="1">
              <a:solidFill>
                <a:schemeClr val="dk1"/>
              </a:solidFill>
              <a:effectLst/>
              <a:latin typeface="+mn-lt"/>
              <a:ea typeface="+mn-ea"/>
              <a:cs typeface="+mn-cs"/>
            </a:rPr>
            <a:t>Гарантийное сопровождение</a:t>
          </a:r>
          <a:r>
            <a:rPr lang="ru-RU" sz="1100" b="1" baseline="0">
              <a:solidFill>
                <a:schemeClr val="dk1"/>
              </a:solidFill>
              <a:effectLst/>
              <a:latin typeface="+mn-lt"/>
              <a:ea typeface="+mn-ea"/>
              <a:cs typeface="+mn-cs"/>
            </a:rPr>
            <a:t> и т</a:t>
          </a:r>
          <a:r>
            <a:rPr lang="ru-RU" sz="1100" b="1">
              <a:solidFill>
                <a:schemeClr val="dk1"/>
              </a:solidFill>
              <a:effectLst/>
              <a:latin typeface="+mn-lt"/>
              <a:ea typeface="+mn-ea"/>
              <a:cs typeface="+mn-cs"/>
            </a:rPr>
            <a:t>ехническая поддержка</a:t>
          </a:r>
          <a:endParaRPr lang="ru-RU" sz="1100">
            <a:solidFill>
              <a:schemeClr val="dk1"/>
            </a:solidFill>
            <a:effectLst/>
            <a:latin typeface="+mn-lt"/>
            <a:ea typeface="+mn-ea"/>
            <a:cs typeface="+mn-cs"/>
          </a:endParaRPr>
        </a:p>
        <a:p>
          <a:pPr algn="l"/>
          <a:r>
            <a:rPr lang="ru-RU" sz="1100">
              <a:solidFill>
                <a:schemeClr val="dk1"/>
              </a:solidFill>
              <a:effectLst/>
              <a:latin typeface="+mn-lt"/>
              <a:ea typeface="+mn-ea"/>
              <a:cs typeface="+mn-cs"/>
            </a:rPr>
            <a:t>При первичном приобретении гарантийное сопровождение (основной пакет) в течение 1 года включено в стоимость (окончание артикула </a:t>
          </a:r>
          <a:r>
            <a:rPr lang="en-US" sz="1100" b="1">
              <a:solidFill>
                <a:schemeClr val="dk1"/>
              </a:solidFill>
              <a:effectLst/>
              <a:latin typeface="+mn-lt"/>
              <a:ea typeface="+mn-ea"/>
              <a:cs typeface="+mn-cs"/>
            </a:rPr>
            <a:t>z</a:t>
          </a:r>
          <a:r>
            <a:rPr lang="ru-RU" sz="1100" b="1">
              <a:solidFill>
                <a:schemeClr val="dk1"/>
              </a:solidFill>
              <a:effectLst/>
              <a:latin typeface="+mn-lt"/>
              <a:ea typeface="+mn-ea"/>
              <a:cs typeface="+mn-cs"/>
            </a:rPr>
            <a:t> = 12</a:t>
          </a:r>
          <a:r>
            <a:rPr lang="en-US" sz="1100" b="1">
              <a:solidFill>
                <a:schemeClr val="dk1"/>
              </a:solidFill>
              <a:effectLst/>
              <a:latin typeface="+mn-lt"/>
              <a:ea typeface="+mn-ea"/>
              <a:cs typeface="+mn-cs"/>
            </a:rPr>
            <a:t>M</a:t>
          </a:r>
          <a:r>
            <a:rPr lang="ru-RU" sz="1100">
              <a:solidFill>
                <a:schemeClr val="dk1"/>
              </a:solidFill>
              <a:effectLst/>
              <a:latin typeface="+mn-lt"/>
              <a:ea typeface="+mn-ea"/>
              <a:cs typeface="+mn-cs"/>
            </a:rPr>
            <a:t>). В случае приобретения изделий с гарантийным сопровождением (основной пакет) на 3 года, стоимость изделия умножается на коэффициент </a:t>
          </a:r>
          <a:r>
            <a:rPr lang="ru-RU" sz="1100" b="1">
              <a:solidFill>
                <a:schemeClr val="dk1"/>
              </a:solidFill>
              <a:effectLst/>
              <a:latin typeface="+mn-lt"/>
              <a:ea typeface="+mn-ea"/>
              <a:cs typeface="+mn-cs"/>
            </a:rPr>
            <a:t>1,35</a:t>
          </a:r>
          <a:r>
            <a:rPr lang="ru-RU" sz="1100">
              <a:solidFill>
                <a:schemeClr val="dk1"/>
              </a:solidFill>
              <a:effectLst/>
              <a:latin typeface="+mn-lt"/>
              <a:ea typeface="+mn-ea"/>
              <a:cs typeface="+mn-cs"/>
            </a:rPr>
            <a:t> (</a:t>
          </a:r>
          <a:r>
            <a:rPr lang="en-US" sz="1100" b="1">
              <a:solidFill>
                <a:schemeClr val="dk1"/>
              </a:solidFill>
              <a:effectLst/>
              <a:latin typeface="+mn-lt"/>
              <a:ea typeface="+mn-ea"/>
              <a:cs typeface="+mn-cs"/>
            </a:rPr>
            <a:t>z</a:t>
          </a:r>
          <a:r>
            <a:rPr lang="ru-RU" sz="1100" b="1">
              <a:solidFill>
                <a:schemeClr val="dk1"/>
              </a:solidFill>
              <a:effectLst/>
              <a:latin typeface="+mn-lt"/>
              <a:ea typeface="+mn-ea"/>
              <a:cs typeface="+mn-cs"/>
            </a:rPr>
            <a:t> = 36</a:t>
          </a:r>
          <a:r>
            <a:rPr lang="en-US" sz="1100" b="1">
              <a:solidFill>
                <a:schemeClr val="dk1"/>
              </a:solidFill>
              <a:effectLst/>
              <a:latin typeface="+mn-lt"/>
              <a:ea typeface="+mn-ea"/>
              <a:cs typeface="+mn-cs"/>
            </a:rPr>
            <a:t>M</a:t>
          </a:r>
          <a:r>
            <a:rPr lang="ru-RU" sz="1100">
              <a:solidFill>
                <a:schemeClr val="dk1"/>
              </a:solidFill>
              <a:effectLst/>
              <a:latin typeface="+mn-lt"/>
              <a:ea typeface="+mn-ea"/>
              <a:cs typeface="+mn-cs"/>
            </a:rPr>
            <a:t>). При первичном приобретении с техническим сопровождением расширенного пакета «24х7» окончания артикулов </a:t>
          </a:r>
          <a:r>
            <a:rPr lang="ru-RU" sz="1100" b="1">
              <a:solidFill>
                <a:schemeClr val="dk1"/>
              </a:solidFill>
              <a:effectLst/>
              <a:latin typeface="+mn-lt"/>
              <a:ea typeface="+mn-ea"/>
              <a:cs typeface="+mn-cs"/>
            </a:rPr>
            <a:t>12</a:t>
          </a:r>
          <a:r>
            <a:rPr lang="en-US" sz="1100" b="1">
              <a:solidFill>
                <a:schemeClr val="dk1"/>
              </a:solidFill>
              <a:effectLst/>
              <a:latin typeface="+mn-lt"/>
              <a:ea typeface="+mn-ea"/>
              <a:cs typeface="+mn-cs"/>
            </a:rPr>
            <a:t>M</a:t>
          </a:r>
          <a:r>
            <a:rPr lang="ru-RU" sz="1100">
              <a:solidFill>
                <a:schemeClr val="dk1"/>
              </a:solidFill>
              <a:effectLst/>
              <a:latin typeface="+mn-lt"/>
              <a:ea typeface="+mn-ea"/>
              <a:cs typeface="+mn-cs"/>
            </a:rPr>
            <a:t>, </a:t>
          </a:r>
          <a:r>
            <a:rPr lang="ru-RU" sz="1100" b="1">
              <a:solidFill>
                <a:schemeClr val="dk1"/>
              </a:solidFill>
              <a:effectLst/>
              <a:latin typeface="+mn-lt"/>
              <a:ea typeface="+mn-ea"/>
              <a:cs typeface="+mn-cs"/>
            </a:rPr>
            <a:t>36</a:t>
          </a:r>
          <a:r>
            <a:rPr lang="en-US" sz="1100" b="1">
              <a:solidFill>
                <a:schemeClr val="dk1"/>
              </a:solidFill>
              <a:effectLst/>
              <a:latin typeface="+mn-lt"/>
              <a:ea typeface="+mn-ea"/>
              <a:cs typeface="+mn-cs"/>
            </a:rPr>
            <a:t>M</a:t>
          </a:r>
          <a:r>
            <a:rPr lang="ru-RU" sz="1100">
              <a:solidFill>
                <a:schemeClr val="dk1"/>
              </a:solidFill>
              <a:effectLst/>
              <a:latin typeface="+mn-lt"/>
              <a:ea typeface="+mn-ea"/>
              <a:cs typeface="+mn-cs"/>
            </a:rPr>
            <a:t> заменяются на </a:t>
          </a:r>
          <a:r>
            <a:rPr lang="ru-RU" sz="1100" b="1">
              <a:solidFill>
                <a:schemeClr val="dk1"/>
              </a:solidFill>
              <a:effectLst/>
              <a:latin typeface="+mn-lt"/>
              <a:ea typeface="+mn-ea"/>
              <a:cs typeface="+mn-cs"/>
            </a:rPr>
            <a:t>12</a:t>
          </a:r>
          <a:r>
            <a:rPr lang="en-US" sz="1100" b="1">
              <a:solidFill>
                <a:schemeClr val="dk1"/>
              </a:solidFill>
              <a:effectLst/>
              <a:latin typeface="+mn-lt"/>
              <a:ea typeface="+mn-ea"/>
              <a:cs typeface="+mn-cs"/>
            </a:rPr>
            <a:t>M</a:t>
          </a:r>
          <a:r>
            <a:rPr lang="ru-RU" sz="1100" b="1">
              <a:solidFill>
                <a:schemeClr val="dk1"/>
              </a:solidFill>
              <a:effectLst/>
              <a:latin typeface="+mn-lt"/>
              <a:ea typeface="+mn-ea"/>
              <a:cs typeface="+mn-cs"/>
            </a:rPr>
            <a:t>247</a:t>
          </a:r>
          <a:r>
            <a:rPr lang="ru-RU" sz="1100">
              <a:solidFill>
                <a:schemeClr val="dk1"/>
              </a:solidFill>
              <a:effectLst/>
              <a:latin typeface="+mn-lt"/>
              <a:ea typeface="+mn-ea"/>
              <a:cs typeface="+mn-cs"/>
            </a:rPr>
            <a:t>, </a:t>
          </a:r>
          <a:r>
            <a:rPr lang="ru-RU" sz="1100" b="1">
              <a:solidFill>
                <a:schemeClr val="dk1"/>
              </a:solidFill>
              <a:effectLst/>
              <a:latin typeface="+mn-lt"/>
              <a:ea typeface="+mn-ea"/>
              <a:cs typeface="+mn-cs"/>
            </a:rPr>
            <a:t>36</a:t>
          </a:r>
          <a:r>
            <a:rPr lang="en-US" sz="1100" b="1">
              <a:solidFill>
                <a:schemeClr val="dk1"/>
              </a:solidFill>
              <a:effectLst/>
              <a:latin typeface="+mn-lt"/>
              <a:ea typeface="+mn-ea"/>
              <a:cs typeface="+mn-cs"/>
            </a:rPr>
            <a:t>M</a:t>
          </a:r>
          <a:r>
            <a:rPr lang="ru-RU" sz="1100" b="1">
              <a:solidFill>
                <a:schemeClr val="dk1"/>
              </a:solidFill>
              <a:effectLst/>
              <a:latin typeface="+mn-lt"/>
              <a:ea typeface="+mn-ea"/>
              <a:cs typeface="+mn-cs"/>
            </a:rPr>
            <a:t>247</a:t>
          </a:r>
          <a:r>
            <a:rPr lang="ru-RU" sz="1100">
              <a:solidFill>
                <a:schemeClr val="dk1"/>
              </a:solidFill>
              <a:effectLst/>
              <a:latin typeface="+mn-lt"/>
              <a:ea typeface="+mn-ea"/>
              <a:cs typeface="+mn-cs"/>
            </a:rPr>
            <a:t> соответственно.</a:t>
          </a:r>
        </a:p>
        <a:p>
          <a:pPr algn="l"/>
          <a:r>
            <a:rPr lang="ru-RU" sz="1100">
              <a:solidFill>
                <a:schemeClr val="dk1"/>
              </a:solidFill>
              <a:effectLst/>
              <a:latin typeface="+mn-lt"/>
              <a:ea typeface="+mn-ea"/>
              <a:cs typeface="+mn-cs"/>
            </a:rPr>
            <a:t>Возможно продление гарантийного сопровождения (совместно со стандартным или расширенным пакетом технического сопровождения). При продлении гарантийного сопровождения пользователю гарантируется не только весь объём технической поддержки, но также ремонт или замена СДЗ Dallas Lock целиком в случае невозможности ремонта (при соблюдении условий эксплуатации).</a:t>
          </a:r>
        </a:p>
        <a:p>
          <a:pPr algn="l"/>
          <a:r>
            <a:rPr lang="ru-RU" sz="1100">
              <a:solidFill>
                <a:schemeClr val="dk1"/>
              </a:solidFill>
              <a:effectLst/>
              <a:latin typeface="+mn-lt"/>
              <a:ea typeface="+mn-ea"/>
              <a:cs typeface="+mn-cs"/>
            </a:rPr>
            <a:t>Продление гарантийного или технического сопровождения оформляется в виде сертификата на код активации гарантийной поддержки/технической поддержки. Сертификат передается по УПД или товарной накладной по форме ТОРГ-12 с оформлением счета-фактуры.</a:t>
          </a:r>
        </a:p>
        <a:p>
          <a:pPr algn="l"/>
          <a:r>
            <a:rPr lang="ru-RU" sz="1100">
              <a:solidFill>
                <a:schemeClr val="dk1"/>
              </a:solidFill>
              <a:effectLst/>
              <a:latin typeface="+mn-lt"/>
              <a:ea typeface="+mn-ea"/>
              <a:cs typeface="+mn-cs"/>
            </a:rPr>
            <a:t>При расчете стоимости последующего гарантийного или технического сопровождения используется стоимость СДЗ </a:t>
          </a:r>
          <a:r>
            <a:rPr lang="en-US" sz="1100">
              <a:solidFill>
                <a:schemeClr val="dk1"/>
              </a:solidFill>
              <a:effectLst/>
              <a:latin typeface="+mn-lt"/>
              <a:ea typeface="+mn-ea"/>
              <a:cs typeface="+mn-cs"/>
            </a:rPr>
            <a:t>Dallas Lock</a:t>
          </a:r>
          <a:r>
            <a:rPr lang="ru-RU" sz="1100">
              <a:solidFill>
                <a:schemeClr val="dk1"/>
              </a:solidFill>
              <a:effectLst/>
              <a:latin typeface="+mn-lt"/>
              <a:ea typeface="+mn-ea"/>
              <a:cs typeface="+mn-cs"/>
            </a:rPr>
            <a:t> с артикулом *.12М (в том числе – в случае первичного приобретения изделий с артикулом *.36М).</a:t>
          </a:r>
        </a:p>
        <a:p>
          <a:pPr algn="l"/>
          <a:r>
            <a:rPr lang="ru-RU" sz="1100">
              <a:solidFill>
                <a:schemeClr val="dk1"/>
              </a:solidFill>
              <a:effectLst/>
              <a:latin typeface="+mn-lt"/>
              <a:ea typeface="+mn-ea"/>
              <a:cs typeface="+mn-cs"/>
            </a:rPr>
            <a:t>Стоимость последующего </a:t>
          </a:r>
          <a:r>
            <a:rPr lang="ru-RU" sz="1100" b="1">
              <a:solidFill>
                <a:schemeClr val="dk1"/>
              </a:solidFill>
              <a:effectLst/>
              <a:latin typeface="+mn-lt"/>
              <a:ea typeface="+mn-ea"/>
              <a:cs typeface="+mn-cs"/>
            </a:rPr>
            <a:t>гарантийного сопровождения</a:t>
          </a:r>
          <a:r>
            <a:rPr lang="ru-RU" sz="1100">
              <a:solidFill>
                <a:schemeClr val="dk1"/>
              </a:solidFill>
              <a:effectLst/>
              <a:latin typeface="+mn-lt"/>
              <a:ea typeface="+mn-ea"/>
              <a:cs typeface="+mn-cs"/>
            </a:rPr>
            <a:t> (основной пакет) составляет 20% от стоимости изделий в год. При оплате гарантийного сопровождения (основной пакет) вперед на 3 года действует скидка – стоимость продления составит 55% от розничной стоимости изделий. Стоимость последующего гарантийного сопровождения (расширенный пакет «24х7») составляет 30% от стоимости изделий в год. При оплате гарантийного сопровождения (расширенный пакет «24х7») вперед на 3 года действует скидка – стоимость продления составит 85% от стоимости изделий. При продлении гарантийного сопровождения оплачивается также весь период с момента окончания гарантийного или технического сопровождения.</a:t>
          </a:r>
        </a:p>
        <a:p>
          <a:pPr algn="l"/>
          <a:r>
            <a:rPr lang="ru-RU" sz="1100">
              <a:solidFill>
                <a:schemeClr val="dk1"/>
              </a:solidFill>
              <a:effectLst/>
              <a:latin typeface="+mn-lt"/>
              <a:ea typeface="+mn-ea"/>
              <a:cs typeface="+mn-cs"/>
            </a:rPr>
            <a:t>Стоимость последующего </a:t>
          </a:r>
          <a:r>
            <a:rPr lang="ru-RU" sz="1100" b="1">
              <a:solidFill>
                <a:schemeClr val="dk1"/>
              </a:solidFill>
              <a:effectLst/>
              <a:latin typeface="+mn-lt"/>
              <a:ea typeface="+mn-ea"/>
              <a:cs typeface="+mn-cs"/>
            </a:rPr>
            <a:t>технического сопровождения</a:t>
          </a:r>
          <a:r>
            <a:rPr lang="ru-RU" sz="1100">
              <a:solidFill>
                <a:schemeClr val="dk1"/>
              </a:solidFill>
              <a:effectLst/>
              <a:latin typeface="+mn-lt"/>
              <a:ea typeface="+mn-ea"/>
              <a:cs typeface="+mn-cs"/>
            </a:rPr>
            <a:t> (основной пакет) составляет 10% от стоимости изделий в год. При оплате технического сопровождения (основной пакет) вперед на 3 года действует скидка – стоимость продления составит 25% от розничной стоимости изделий. Стоимость последующего технического сопровождения (расширенный пакет «24х7») составляет 15% от стоимости изделий в год. При оплате технического сопровождения (расширенный пакет «24х7») вперед на 3 года действует скидка – стоимость продления составит 40% от стоимости изделий. При продлении технического сопровождения оплачивается также весь период с момента окончания гарантийного или технического сопровождения.</a:t>
          </a:r>
        </a:p>
        <a:p>
          <a:pPr algn="l"/>
          <a:r>
            <a:rPr lang="ru-RU" sz="1100">
              <a:solidFill>
                <a:schemeClr val="dk1"/>
              </a:solidFill>
              <a:effectLst/>
              <a:latin typeface="+mn-lt"/>
              <a:ea typeface="+mn-ea"/>
              <a:cs typeface="+mn-cs"/>
            </a:rPr>
            <a:t>При продлении технического сопровождения пользователю обеспечивается только весь объём технической поддержки в соответствии с выбранным пакетом, но не обеспечивается ремонт или замена отдельных компонентов или СДЗ </a:t>
          </a:r>
          <a:r>
            <a:rPr lang="en-US" sz="1100">
              <a:solidFill>
                <a:schemeClr val="dk1"/>
              </a:solidFill>
              <a:effectLst/>
              <a:latin typeface="+mn-lt"/>
              <a:ea typeface="+mn-ea"/>
              <a:cs typeface="+mn-cs"/>
            </a:rPr>
            <a:t>Dallas Lock</a:t>
          </a:r>
          <a:r>
            <a:rPr lang="ru-RU" sz="1100">
              <a:solidFill>
                <a:schemeClr val="dk1"/>
              </a:solidFill>
              <a:effectLst/>
              <a:latin typeface="+mn-lt"/>
              <a:ea typeface="+mn-ea"/>
              <a:cs typeface="+mn-cs"/>
            </a:rPr>
            <a:t> целиком в случае невозможности ремонта (даже при соблюдении условий эксплуатации).</a:t>
          </a:r>
        </a:p>
        <a:p>
          <a:pPr algn="l"/>
          <a:endParaRPr lang="ru-RU" sz="1100" b="0" i="0" u="none" strike="noStrike" baseline="0">
            <a:solidFill>
              <a:schemeClr val="dk1"/>
            </a:solidFill>
            <a:latin typeface="+mn-lt"/>
            <a:ea typeface="+mn-ea"/>
            <a:cs typeface="Arial" panose="020B0604020202020204" pitchFamily="34" charset="0"/>
          </a:endParaRPr>
        </a:p>
      </xdr:txBody>
    </xdr:sp>
    <xdr:clientData/>
  </xdr:twoCellAnchor>
  <xdr:twoCellAnchor>
    <xdr:from>
      <xdr:col>3</xdr:col>
      <xdr:colOff>199390</xdr:colOff>
      <xdr:row>32</xdr:row>
      <xdr:rowOff>41106</xdr:rowOff>
    </xdr:from>
    <xdr:to>
      <xdr:col>12</xdr:col>
      <xdr:colOff>57150</xdr:colOff>
      <xdr:row>55</xdr:row>
      <xdr:rowOff>19050</xdr:rowOff>
    </xdr:to>
    <xdr:sp macro="" textlink="">
      <xdr:nvSpPr>
        <xdr:cNvPr id="3" name="TextBox 2">
          <a:extLst>
            <a:ext uri="{FF2B5EF4-FFF2-40B4-BE49-F238E27FC236}">
              <a16:creationId xmlns:a16="http://schemas.microsoft.com/office/drawing/2014/main" xmlns="" id="{00000000-0008-0000-0200-000003000000}"/>
            </a:ext>
          </a:extLst>
        </xdr:cNvPr>
        <xdr:cNvSpPr txBox="1"/>
      </xdr:nvSpPr>
      <xdr:spPr>
        <a:xfrm>
          <a:off x="6762115" y="11433006"/>
          <a:ext cx="6201410" cy="83599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ru-RU" sz="1100" b="1">
              <a:solidFill>
                <a:schemeClr val="dk1"/>
              </a:solidFill>
              <a:effectLst/>
              <a:latin typeface="+mn-lt"/>
              <a:ea typeface="+mn-ea"/>
              <a:cs typeface="+mn-cs"/>
            </a:rPr>
            <a:t>Сертифицированный комплект для установки СДЗ УБ </a:t>
          </a:r>
          <a:r>
            <a:rPr lang="ru-RU" sz="1100">
              <a:solidFill>
                <a:schemeClr val="dk1"/>
              </a:solidFill>
              <a:effectLst/>
              <a:latin typeface="+mn-lt"/>
              <a:ea typeface="+mn-ea"/>
              <a:cs typeface="+mn-cs"/>
            </a:rPr>
            <a:t>(программный  модуль доверенной загрузки уровня </a:t>
          </a:r>
          <a:r>
            <a:rPr lang="en-US" sz="1100">
              <a:solidFill>
                <a:schemeClr val="dk1"/>
              </a:solidFill>
              <a:effectLst/>
              <a:latin typeface="+mn-lt"/>
              <a:ea typeface="+mn-ea"/>
              <a:cs typeface="+mn-cs"/>
            </a:rPr>
            <a:t>BIOS</a:t>
          </a:r>
          <a:r>
            <a:rPr lang="ru-RU" sz="1100">
              <a:solidFill>
                <a:schemeClr val="dk1"/>
              </a:solidFill>
              <a:effectLst/>
              <a:latin typeface="+mn-lt"/>
              <a:ea typeface="+mn-ea"/>
              <a:cs typeface="+mn-cs"/>
            </a:rPr>
            <a:t>)</a:t>
          </a:r>
          <a:r>
            <a:rPr lang="ru-RU" sz="1100" baseline="0">
              <a:solidFill>
                <a:schemeClr val="dk1"/>
              </a:solidFill>
              <a:effectLst/>
              <a:latin typeface="+mn-lt"/>
              <a:ea typeface="+mn-ea"/>
              <a:cs typeface="+mn-cs"/>
            </a:rPr>
            <a:t> </a:t>
          </a:r>
          <a:r>
            <a:rPr lang="en-US" sz="1100">
              <a:solidFill>
                <a:schemeClr val="dk1"/>
              </a:solidFill>
              <a:effectLst/>
              <a:latin typeface="+mn-lt"/>
              <a:ea typeface="+mn-ea"/>
              <a:cs typeface="+mn-cs"/>
            </a:rPr>
            <a:t>USB</a:t>
          </a:r>
          <a:r>
            <a:rPr lang="ru-RU" sz="1100">
              <a:solidFill>
                <a:schemeClr val="dk1"/>
              </a:solidFill>
              <a:effectLst/>
              <a:latin typeface="+mn-lt"/>
              <a:ea typeface="+mn-ea"/>
              <a:cs typeface="+mn-cs"/>
            </a:rPr>
            <a:t>-накопитель с ПО СДЗ УБ и документацией в электронном виде; формуляр; копия сертификата ФСТЭК России; краткое руководство.</a:t>
          </a:r>
        </a:p>
        <a:p>
          <a:pPr algn="l"/>
          <a:endParaRPr lang="ru-RU" sz="1100">
            <a:solidFill>
              <a:schemeClr val="dk1"/>
            </a:solidFill>
            <a:effectLst/>
            <a:latin typeface="+mn-lt"/>
            <a:ea typeface="+mn-ea"/>
            <a:cs typeface="+mn-cs"/>
          </a:endParaRPr>
        </a:p>
        <a:p>
          <a:pPr algn="l"/>
          <a:r>
            <a:rPr lang="ru-RU" sz="1100" b="1">
              <a:solidFill>
                <a:schemeClr val="dk1"/>
              </a:solidFill>
              <a:effectLst/>
              <a:latin typeface="+mn-lt"/>
              <a:ea typeface="+mn-ea"/>
              <a:cs typeface="+mn-cs"/>
            </a:rPr>
            <a:t>Техническая поддержка</a:t>
          </a:r>
          <a:endParaRPr lang="ru-RU" sz="1100">
            <a:solidFill>
              <a:schemeClr val="dk1"/>
            </a:solidFill>
            <a:effectLst/>
            <a:latin typeface="+mn-lt"/>
            <a:ea typeface="+mn-ea"/>
            <a:cs typeface="+mn-cs"/>
          </a:endParaRPr>
        </a:p>
        <a:p>
          <a:pPr algn="l"/>
          <a:r>
            <a:rPr lang="ru-RU" sz="1100">
              <a:solidFill>
                <a:schemeClr val="dk1"/>
              </a:solidFill>
              <a:effectLst/>
              <a:latin typeface="+mn-lt"/>
              <a:ea typeface="+mn-ea"/>
              <a:cs typeface="+mn-cs"/>
            </a:rPr>
            <a:t>При первичном приобретении техническая поддержка (основной пакет) в течение 1 года включена в стоимость (окончание артикула </a:t>
          </a:r>
          <a:r>
            <a:rPr lang="en-US" sz="1100">
              <a:solidFill>
                <a:schemeClr val="dk1"/>
              </a:solidFill>
              <a:effectLst/>
              <a:latin typeface="+mn-lt"/>
              <a:ea typeface="+mn-ea"/>
              <a:cs typeface="+mn-cs"/>
            </a:rPr>
            <a:t>z</a:t>
          </a:r>
          <a:r>
            <a:rPr lang="ru-RU" sz="1100">
              <a:solidFill>
                <a:schemeClr val="dk1"/>
              </a:solidFill>
              <a:effectLst/>
              <a:latin typeface="+mn-lt"/>
              <a:ea typeface="+mn-ea"/>
              <a:cs typeface="+mn-cs"/>
            </a:rPr>
            <a:t> = 12</a:t>
          </a:r>
          <a:r>
            <a:rPr lang="en-US" sz="1100">
              <a:solidFill>
                <a:schemeClr val="dk1"/>
              </a:solidFill>
              <a:effectLst/>
              <a:latin typeface="+mn-lt"/>
              <a:ea typeface="+mn-ea"/>
              <a:cs typeface="+mn-cs"/>
            </a:rPr>
            <a:t>M</a:t>
          </a:r>
          <a:r>
            <a:rPr lang="ru-RU" sz="1100">
              <a:solidFill>
                <a:schemeClr val="dk1"/>
              </a:solidFill>
              <a:effectLst/>
              <a:latin typeface="+mn-lt"/>
              <a:ea typeface="+mn-ea"/>
              <a:cs typeface="+mn-cs"/>
            </a:rPr>
            <a:t>). В случае приобретения лицензий с технической поддержкой (основной пакет) на 3 года, стоимость лицензии умножается на коэффициент 1,35 (</a:t>
          </a:r>
          <a:r>
            <a:rPr lang="en-US" sz="1100">
              <a:solidFill>
                <a:schemeClr val="dk1"/>
              </a:solidFill>
              <a:effectLst/>
              <a:latin typeface="+mn-lt"/>
              <a:ea typeface="+mn-ea"/>
              <a:cs typeface="+mn-cs"/>
            </a:rPr>
            <a:t>z</a:t>
          </a:r>
          <a:r>
            <a:rPr lang="ru-RU" sz="1100">
              <a:solidFill>
                <a:schemeClr val="dk1"/>
              </a:solidFill>
              <a:effectLst/>
              <a:latin typeface="+mn-lt"/>
              <a:ea typeface="+mn-ea"/>
              <a:cs typeface="+mn-cs"/>
            </a:rPr>
            <a:t> = 36</a:t>
          </a:r>
          <a:r>
            <a:rPr lang="en-US" sz="1100">
              <a:solidFill>
                <a:schemeClr val="dk1"/>
              </a:solidFill>
              <a:effectLst/>
              <a:latin typeface="+mn-lt"/>
              <a:ea typeface="+mn-ea"/>
              <a:cs typeface="+mn-cs"/>
            </a:rPr>
            <a:t>M</a:t>
          </a:r>
          <a:r>
            <a:rPr lang="ru-RU" sz="1100">
              <a:solidFill>
                <a:schemeClr val="dk1"/>
              </a:solidFill>
              <a:effectLst/>
              <a:latin typeface="+mn-lt"/>
              <a:ea typeface="+mn-ea"/>
              <a:cs typeface="+mn-cs"/>
            </a:rPr>
            <a:t>). </a:t>
          </a:r>
        </a:p>
        <a:p>
          <a:pPr algn="l"/>
          <a:endParaRPr lang="ru-RU" sz="1100">
            <a:solidFill>
              <a:schemeClr val="dk1"/>
            </a:solidFill>
            <a:effectLst/>
            <a:latin typeface="+mn-lt"/>
            <a:ea typeface="+mn-ea"/>
            <a:cs typeface="+mn-cs"/>
          </a:endParaRPr>
        </a:p>
        <a:p>
          <a:pPr algn="l"/>
          <a:r>
            <a:rPr lang="ru-RU" sz="1100">
              <a:solidFill>
                <a:schemeClr val="dk1"/>
              </a:solidFill>
              <a:effectLst/>
              <a:latin typeface="+mn-lt"/>
              <a:ea typeface="+mn-ea"/>
              <a:cs typeface="+mn-cs"/>
            </a:rPr>
            <a:t>При первичном приобретении с техническим сопровождением расширенного пакета «24х7» окончания артикулов 12</a:t>
          </a:r>
          <a:r>
            <a:rPr lang="en-US" sz="1100">
              <a:solidFill>
                <a:schemeClr val="dk1"/>
              </a:solidFill>
              <a:effectLst/>
              <a:latin typeface="+mn-lt"/>
              <a:ea typeface="+mn-ea"/>
              <a:cs typeface="+mn-cs"/>
            </a:rPr>
            <a:t>M</a:t>
          </a:r>
          <a:r>
            <a:rPr lang="ru-RU" sz="1100">
              <a:solidFill>
                <a:schemeClr val="dk1"/>
              </a:solidFill>
              <a:effectLst/>
              <a:latin typeface="+mn-lt"/>
              <a:ea typeface="+mn-ea"/>
              <a:cs typeface="+mn-cs"/>
            </a:rPr>
            <a:t>, 36</a:t>
          </a:r>
          <a:r>
            <a:rPr lang="en-US" sz="1100">
              <a:solidFill>
                <a:schemeClr val="dk1"/>
              </a:solidFill>
              <a:effectLst/>
              <a:latin typeface="+mn-lt"/>
              <a:ea typeface="+mn-ea"/>
              <a:cs typeface="+mn-cs"/>
            </a:rPr>
            <a:t>M</a:t>
          </a:r>
          <a:r>
            <a:rPr lang="ru-RU" sz="1100">
              <a:solidFill>
                <a:schemeClr val="dk1"/>
              </a:solidFill>
              <a:effectLst/>
              <a:latin typeface="+mn-lt"/>
              <a:ea typeface="+mn-ea"/>
              <a:cs typeface="+mn-cs"/>
            </a:rPr>
            <a:t> заменяются на 12</a:t>
          </a:r>
          <a:r>
            <a:rPr lang="en-US" sz="1100">
              <a:solidFill>
                <a:schemeClr val="dk1"/>
              </a:solidFill>
              <a:effectLst/>
              <a:latin typeface="+mn-lt"/>
              <a:ea typeface="+mn-ea"/>
              <a:cs typeface="+mn-cs"/>
            </a:rPr>
            <a:t>M</a:t>
          </a:r>
          <a:r>
            <a:rPr lang="ru-RU" sz="1100">
              <a:solidFill>
                <a:schemeClr val="dk1"/>
              </a:solidFill>
              <a:effectLst/>
              <a:latin typeface="+mn-lt"/>
              <a:ea typeface="+mn-ea"/>
              <a:cs typeface="+mn-cs"/>
            </a:rPr>
            <a:t>247, 36</a:t>
          </a:r>
          <a:r>
            <a:rPr lang="en-US" sz="1100">
              <a:solidFill>
                <a:schemeClr val="dk1"/>
              </a:solidFill>
              <a:effectLst/>
              <a:latin typeface="+mn-lt"/>
              <a:ea typeface="+mn-ea"/>
              <a:cs typeface="+mn-cs"/>
            </a:rPr>
            <a:t>M</a:t>
          </a:r>
          <a:r>
            <a:rPr lang="ru-RU" sz="1100">
              <a:solidFill>
                <a:schemeClr val="dk1"/>
              </a:solidFill>
              <a:effectLst/>
              <a:latin typeface="+mn-lt"/>
              <a:ea typeface="+mn-ea"/>
              <a:cs typeface="+mn-cs"/>
            </a:rPr>
            <a:t>247 соответственно.</a:t>
          </a:r>
        </a:p>
        <a:p>
          <a:pPr algn="l"/>
          <a:r>
            <a:rPr lang="ru-RU" sz="1100">
              <a:solidFill>
                <a:schemeClr val="dk1"/>
              </a:solidFill>
              <a:effectLst/>
              <a:latin typeface="+mn-lt"/>
              <a:ea typeface="+mn-ea"/>
              <a:cs typeface="+mn-cs"/>
            </a:rPr>
            <a:t>Продление технического сопровождения оформляется в виде сертификата на код активации технической поддержки. Сертификат передается по УПД или товарной накладной по форме ТОРГ-12 с оформлением счета-фактуры.</a:t>
          </a:r>
        </a:p>
        <a:p>
          <a:pPr algn="l"/>
          <a:endParaRPr lang="ru-RU" sz="1100">
            <a:solidFill>
              <a:schemeClr val="dk1"/>
            </a:solidFill>
            <a:effectLst/>
            <a:latin typeface="+mn-lt"/>
            <a:ea typeface="+mn-ea"/>
            <a:cs typeface="+mn-cs"/>
          </a:endParaRPr>
        </a:p>
        <a:p>
          <a:pPr algn="l"/>
          <a:r>
            <a:rPr lang="ru-RU" sz="1100">
              <a:solidFill>
                <a:schemeClr val="dk1"/>
              </a:solidFill>
              <a:effectLst/>
              <a:latin typeface="+mn-lt"/>
              <a:ea typeface="+mn-ea"/>
              <a:cs typeface="+mn-cs"/>
            </a:rPr>
            <a:t>Стоимость последующего технического сопровождения (основной пакет) составляет 20% (15% для лицензий с артикулом *.36</a:t>
          </a:r>
          <a:r>
            <a:rPr lang="en-US" sz="1100">
              <a:solidFill>
                <a:schemeClr val="dk1"/>
              </a:solidFill>
              <a:effectLst/>
              <a:latin typeface="+mn-lt"/>
              <a:ea typeface="+mn-ea"/>
              <a:cs typeface="+mn-cs"/>
            </a:rPr>
            <a:t>M</a:t>
          </a:r>
          <a:r>
            <a:rPr lang="ru-RU" sz="1100">
              <a:solidFill>
                <a:schemeClr val="dk1"/>
              </a:solidFill>
              <a:effectLst/>
              <a:latin typeface="+mn-lt"/>
              <a:ea typeface="+mn-ea"/>
              <a:cs typeface="+mn-cs"/>
            </a:rPr>
            <a:t>) от стоимости лицензий в год. При оплате технического сопровождения (основной пакет) вперед на 3 года действует скидка – стоимость продления составит 55% (40% для лицензий с артикулом *.36</a:t>
          </a:r>
          <a:r>
            <a:rPr lang="en-US" sz="1100">
              <a:solidFill>
                <a:schemeClr val="dk1"/>
              </a:solidFill>
              <a:effectLst/>
              <a:latin typeface="+mn-lt"/>
              <a:ea typeface="+mn-ea"/>
              <a:cs typeface="+mn-cs"/>
            </a:rPr>
            <a:t>M</a:t>
          </a:r>
          <a:r>
            <a:rPr lang="ru-RU" sz="1100">
              <a:solidFill>
                <a:schemeClr val="dk1"/>
              </a:solidFill>
              <a:effectLst/>
              <a:latin typeface="+mn-lt"/>
              <a:ea typeface="+mn-ea"/>
              <a:cs typeface="+mn-cs"/>
            </a:rPr>
            <a:t>) от розничной стоимости лицензий. </a:t>
          </a:r>
        </a:p>
        <a:p>
          <a:pPr algn="l"/>
          <a:endParaRPr lang="ru-RU" sz="1100">
            <a:solidFill>
              <a:schemeClr val="dk1"/>
            </a:solidFill>
            <a:effectLst/>
            <a:latin typeface="+mn-lt"/>
            <a:ea typeface="+mn-ea"/>
            <a:cs typeface="+mn-cs"/>
          </a:endParaRPr>
        </a:p>
        <a:p>
          <a:pPr algn="l"/>
          <a:r>
            <a:rPr lang="ru-RU" sz="1100">
              <a:solidFill>
                <a:schemeClr val="dk1"/>
              </a:solidFill>
              <a:effectLst/>
              <a:latin typeface="+mn-lt"/>
              <a:ea typeface="+mn-ea"/>
              <a:cs typeface="+mn-cs"/>
            </a:rPr>
            <a:t>Стоимость последующего технического сопровождения (расширенный пакет «24х7») составляет 30% (22% для лицензий с артикулом *.36</a:t>
          </a:r>
          <a:r>
            <a:rPr lang="en-US" sz="1100">
              <a:solidFill>
                <a:schemeClr val="dk1"/>
              </a:solidFill>
              <a:effectLst/>
              <a:latin typeface="+mn-lt"/>
              <a:ea typeface="+mn-ea"/>
              <a:cs typeface="+mn-cs"/>
            </a:rPr>
            <a:t>M</a:t>
          </a:r>
          <a:r>
            <a:rPr lang="ru-RU" sz="1100">
              <a:solidFill>
                <a:schemeClr val="dk1"/>
              </a:solidFill>
              <a:effectLst/>
              <a:latin typeface="+mn-lt"/>
              <a:ea typeface="+mn-ea"/>
              <a:cs typeface="+mn-cs"/>
            </a:rPr>
            <a:t>) от стоимости лицензий в год. При оплате технического сопровождения (расширенный пакет «24х7») вперед на 3 года действует скидка – стоимость продления составит 80% (60% для лицензий с артикулом *.36</a:t>
          </a:r>
          <a:r>
            <a:rPr lang="en-US" sz="1100">
              <a:solidFill>
                <a:schemeClr val="dk1"/>
              </a:solidFill>
              <a:effectLst/>
              <a:latin typeface="+mn-lt"/>
              <a:ea typeface="+mn-ea"/>
              <a:cs typeface="+mn-cs"/>
            </a:rPr>
            <a:t>M</a:t>
          </a:r>
          <a:r>
            <a:rPr lang="ru-RU" sz="1100">
              <a:solidFill>
                <a:schemeClr val="dk1"/>
              </a:solidFill>
              <a:effectLst/>
              <a:latin typeface="+mn-lt"/>
              <a:ea typeface="+mn-ea"/>
              <a:cs typeface="+mn-cs"/>
            </a:rPr>
            <a:t>) от стоимости лицензий. При продлении технического сопровождения оплачивается также весь период с момента окончания гарантийного или технического сопровождения</a:t>
          </a:r>
          <a:r>
            <a:rPr lang="en-US" sz="1100">
              <a:solidFill>
                <a:schemeClr val="dk1"/>
              </a:solidFill>
              <a:effectLst/>
              <a:latin typeface="+mn-lt"/>
              <a:ea typeface="+mn-ea"/>
              <a:cs typeface="+mn-cs"/>
            </a:rPr>
            <a:t> </a:t>
          </a:r>
          <a:r>
            <a:rPr lang="ru-RU" sz="1100" b="0" i="0">
              <a:solidFill>
                <a:schemeClr val="dk1"/>
              </a:solidFill>
              <a:effectLst/>
              <a:latin typeface="+mn-lt"/>
              <a:ea typeface="+mn-ea"/>
              <a:cs typeface="+mn-cs"/>
            </a:rPr>
            <a:t>на все лицензии</a:t>
          </a:r>
          <a:r>
            <a:rPr lang="en-US" sz="1100" b="0" i="0">
              <a:solidFill>
                <a:schemeClr val="dk1"/>
              </a:solidFill>
              <a:effectLst/>
              <a:latin typeface="+mn-lt"/>
              <a:ea typeface="+mn-ea"/>
              <a:cs typeface="+mn-cs"/>
            </a:rPr>
            <a:t> </a:t>
          </a:r>
          <a:r>
            <a:rPr lang="ru-RU" sz="1100" b="0" i="0">
              <a:solidFill>
                <a:schemeClr val="dk1"/>
              </a:solidFill>
              <a:effectLst/>
              <a:latin typeface="+mn-lt"/>
              <a:ea typeface="+mn-ea"/>
              <a:cs typeface="+mn-cs"/>
            </a:rPr>
            <a:t>на все лицензии</a:t>
          </a:r>
          <a:r>
            <a:rPr lang="ru-RU" sz="1100">
              <a:solidFill>
                <a:schemeClr val="dk1"/>
              </a:solidFill>
              <a:effectLst/>
              <a:latin typeface="+mn-lt"/>
              <a:ea typeface="+mn-ea"/>
              <a:cs typeface="+mn-cs"/>
            </a:rPr>
            <a:t>.</a:t>
          </a:r>
        </a:p>
        <a:p>
          <a:pPr algn="l"/>
          <a:endParaRPr lang="ru-RU" sz="1100">
            <a:solidFill>
              <a:schemeClr val="dk1"/>
            </a:solidFill>
            <a:effectLst/>
            <a:latin typeface="+mn-lt"/>
            <a:ea typeface="+mn-ea"/>
            <a:cs typeface="+mn-cs"/>
          </a:endParaRPr>
        </a:p>
        <a:p>
          <a:pPr algn="l"/>
          <a:r>
            <a:rPr lang="ru-RU" sz="1100">
              <a:solidFill>
                <a:schemeClr val="dk1"/>
              </a:solidFill>
              <a:effectLst/>
              <a:latin typeface="+mn-lt"/>
              <a:ea typeface="+mn-ea"/>
              <a:cs typeface="+mn-cs"/>
            </a:rPr>
            <a:t>Пользователи программного обеспечения </a:t>
          </a:r>
          <a:r>
            <a:rPr lang="en-US" sz="1100">
              <a:solidFill>
                <a:schemeClr val="dk1"/>
              </a:solidFill>
              <a:effectLst/>
              <a:latin typeface="+mn-lt"/>
              <a:ea typeface="+mn-ea"/>
              <a:cs typeface="+mn-cs"/>
            </a:rPr>
            <a:t>Dallas Lock</a:t>
          </a:r>
          <a:r>
            <a:rPr lang="ru-RU" sz="1100">
              <a:solidFill>
                <a:schemeClr val="dk1"/>
              </a:solidFill>
              <a:effectLst/>
              <a:latin typeface="+mn-lt"/>
              <a:ea typeface="+mn-ea"/>
              <a:cs typeface="+mn-cs"/>
            </a:rPr>
            <a:t> в рамках непрерывно действующего технического сопровождения имеют право бесплатного обновления дистрибутива. Оплачивается только стоимость новых сертифицированных комплектов для установки и 1 год (3 года для лицензий с артикулом *.36</a:t>
          </a:r>
          <a:r>
            <a:rPr lang="en-US" sz="1100">
              <a:solidFill>
                <a:schemeClr val="dk1"/>
              </a:solidFill>
              <a:effectLst/>
              <a:latin typeface="+mn-lt"/>
              <a:ea typeface="+mn-ea"/>
              <a:cs typeface="+mn-cs"/>
            </a:rPr>
            <a:t>M</a:t>
          </a:r>
          <a:r>
            <a:rPr lang="ru-RU" sz="1100">
              <a:solidFill>
                <a:schemeClr val="dk1"/>
              </a:solidFill>
              <a:effectLst/>
              <a:latin typeface="+mn-lt"/>
              <a:ea typeface="+mn-ea"/>
              <a:cs typeface="+mn-cs"/>
            </a:rPr>
            <a:t>) технической поддержки.</a:t>
          </a:r>
        </a:p>
        <a:p>
          <a:pPr algn="l"/>
          <a:r>
            <a:rPr lang="ru-RU" sz="1100" b="1">
              <a:solidFill>
                <a:schemeClr val="dk1"/>
              </a:solidFill>
              <a:effectLst/>
              <a:latin typeface="+mn-lt"/>
              <a:ea typeface="+mn-ea"/>
              <a:cs typeface="+mn-cs"/>
            </a:rPr>
            <a:t> </a:t>
          </a:r>
          <a:endParaRPr lang="ru-RU" sz="1100">
            <a:solidFill>
              <a:schemeClr val="dk1"/>
            </a:solidFill>
            <a:effectLst/>
            <a:latin typeface="+mn-lt"/>
            <a:ea typeface="+mn-ea"/>
            <a:cs typeface="+mn-cs"/>
          </a:endParaRPr>
        </a:p>
        <a:p>
          <a:pPr algn="l"/>
          <a:r>
            <a:rPr lang="ru-RU" sz="1100" b="1">
              <a:solidFill>
                <a:schemeClr val="dk1"/>
              </a:solidFill>
              <a:effectLst/>
              <a:latin typeface="+mn-lt"/>
              <a:ea typeface="+mn-ea"/>
              <a:cs typeface="+mn-cs"/>
            </a:rPr>
            <a:t>Комментарии</a:t>
          </a:r>
          <a:endParaRPr lang="ru-RU" sz="1100">
            <a:solidFill>
              <a:schemeClr val="dk1"/>
            </a:solidFill>
            <a:effectLst/>
            <a:latin typeface="+mn-lt"/>
            <a:ea typeface="+mn-ea"/>
            <a:cs typeface="+mn-cs"/>
          </a:endParaRPr>
        </a:p>
        <a:p>
          <a:pPr algn="l"/>
          <a:r>
            <a:rPr lang="ru-RU" sz="1100">
              <a:solidFill>
                <a:schemeClr val="dk1"/>
              </a:solidFill>
              <a:effectLst/>
              <a:latin typeface="+mn-lt"/>
              <a:ea typeface="+mn-ea"/>
              <a:cs typeface="+mn-cs"/>
            </a:rPr>
            <a:t>• Поддерживается широкий спектр аппаратных идентификаторов: </a:t>
          </a:r>
          <a:r>
            <a:rPr lang="en-US" sz="1100">
              <a:solidFill>
                <a:schemeClr val="dk1"/>
              </a:solidFill>
              <a:effectLst/>
              <a:latin typeface="+mn-lt"/>
              <a:ea typeface="+mn-ea"/>
              <a:cs typeface="+mn-cs"/>
            </a:rPr>
            <a:t>eToken</a:t>
          </a:r>
          <a:r>
            <a:rPr lang="ru-RU" sz="1100">
              <a:solidFill>
                <a:schemeClr val="dk1"/>
              </a:solidFill>
              <a:effectLst/>
              <a:latin typeface="+mn-lt"/>
              <a:ea typeface="+mn-ea"/>
              <a:cs typeface="+mn-cs"/>
            </a:rPr>
            <a:t>, Рутокен, </a:t>
          </a:r>
          <a:r>
            <a:rPr lang="en-US" sz="1100">
              <a:solidFill>
                <a:schemeClr val="dk1"/>
              </a:solidFill>
              <a:effectLst/>
              <a:latin typeface="+mn-lt"/>
              <a:ea typeface="+mn-ea"/>
              <a:cs typeface="+mn-cs"/>
            </a:rPr>
            <a:t>iButton</a:t>
          </a:r>
          <a:r>
            <a:rPr lang="ru-RU" sz="1100">
              <a:solidFill>
                <a:schemeClr val="dk1"/>
              </a:solidFill>
              <a:effectLst/>
              <a:latin typeface="+mn-lt"/>
              <a:ea typeface="+mn-ea"/>
              <a:cs typeface="+mn-cs"/>
            </a:rPr>
            <a:t>, </a:t>
          </a:r>
          <a:r>
            <a:rPr lang="en-US" sz="1100">
              <a:solidFill>
                <a:schemeClr val="dk1"/>
              </a:solidFill>
              <a:effectLst/>
              <a:latin typeface="+mn-lt"/>
              <a:ea typeface="+mn-ea"/>
              <a:cs typeface="+mn-cs"/>
            </a:rPr>
            <a:t>eSmart</a:t>
          </a:r>
          <a:r>
            <a:rPr lang="ru-RU" sz="1100">
              <a:solidFill>
                <a:schemeClr val="dk1"/>
              </a:solidFill>
              <a:effectLst/>
              <a:latin typeface="+mn-lt"/>
              <a:ea typeface="+mn-ea"/>
              <a:cs typeface="+mn-cs"/>
            </a:rPr>
            <a:t>, </a:t>
          </a:r>
          <a:r>
            <a:rPr lang="en-US" sz="1100">
              <a:solidFill>
                <a:schemeClr val="dk1"/>
              </a:solidFill>
              <a:effectLst/>
              <a:latin typeface="+mn-lt"/>
              <a:ea typeface="+mn-ea"/>
              <a:cs typeface="+mn-cs"/>
            </a:rPr>
            <a:t>Touch Memory</a:t>
          </a:r>
          <a:r>
            <a:rPr lang="ru-RU" sz="1100">
              <a:solidFill>
                <a:schemeClr val="dk1"/>
              </a:solidFill>
              <a:effectLst/>
              <a:latin typeface="+mn-lt"/>
              <a:ea typeface="+mn-ea"/>
              <a:cs typeface="+mn-cs"/>
            </a:rPr>
            <a:t>.</a:t>
          </a:r>
        </a:p>
        <a:p>
          <a:pPr algn="l"/>
          <a:r>
            <a:rPr lang="ru-RU" sz="1100">
              <a:solidFill>
                <a:schemeClr val="dk1"/>
              </a:solidFill>
              <a:effectLst/>
              <a:latin typeface="+mn-lt"/>
              <a:ea typeface="+mn-ea"/>
              <a:cs typeface="+mn-cs"/>
            </a:rPr>
            <a:t>• Реализован и сертифицирован механизм централизованного управления настройками СДЗ из консоли ЕЦУ </a:t>
          </a:r>
          <a:r>
            <a:rPr lang="en-US" sz="1100">
              <a:solidFill>
                <a:schemeClr val="dk1"/>
              </a:solidFill>
              <a:effectLst/>
              <a:latin typeface="+mn-lt"/>
              <a:ea typeface="+mn-ea"/>
              <a:cs typeface="+mn-cs"/>
            </a:rPr>
            <a:t>Dallas Lock</a:t>
          </a:r>
          <a:r>
            <a:rPr lang="ru-RU" sz="1100">
              <a:solidFill>
                <a:schemeClr val="dk1"/>
              </a:solidFill>
              <a:effectLst/>
              <a:latin typeface="+mn-lt"/>
              <a:ea typeface="+mn-ea"/>
              <a:cs typeface="+mn-cs"/>
            </a:rPr>
            <a:t>. Для централизованного управления СДЗ </a:t>
          </a:r>
          <a:r>
            <a:rPr lang="en-US" sz="1100">
              <a:solidFill>
                <a:schemeClr val="dk1"/>
              </a:solidFill>
              <a:effectLst/>
              <a:latin typeface="+mn-lt"/>
              <a:ea typeface="+mn-ea"/>
              <a:cs typeface="+mn-cs"/>
            </a:rPr>
            <a:t>Dallas Lock</a:t>
          </a:r>
          <a:r>
            <a:rPr lang="ru-RU" sz="1100">
              <a:solidFill>
                <a:schemeClr val="dk1"/>
              </a:solidFill>
              <a:effectLst/>
              <a:latin typeface="+mn-lt"/>
              <a:ea typeface="+mn-ea"/>
              <a:cs typeface="+mn-cs"/>
            </a:rPr>
            <a:t> необходим ЕЦУ </a:t>
          </a:r>
          <a:r>
            <a:rPr lang="en-US" sz="1100">
              <a:solidFill>
                <a:schemeClr val="dk1"/>
              </a:solidFill>
              <a:effectLst/>
              <a:latin typeface="+mn-lt"/>
              <a:ea typeface="+mn-ea"/>
              <a:cs typeface="+mn-cs"/>
            </a:rPr>
            <a:t>Dallas Lock</a:t>
          </a:r>
          <a:r>
            <a:rPr lang="ru-RU" sz="1100">
              <a:solidFill>
                <a:schemeClr val="dk1"/>
              </a:solidFill>
              <a:effectLst/>
              <a:latin typeface="+mn-lt"/>
              <a:ea typeface="+mn-ea"/>
              <a:cs typeface="+mn-cs"/>
            </a:rPr>
            <a:t> с соответствующим количеством квот на клиентские подключения. Квота клиентских подключений СДЗ </a:t>
          </a:r>
          <a:r>
            <a:rPr lang="en-US" sz="1100">
              <a:solidFill>
                <a:schemeClr val="dk1"/>
              </a:solidFill>
              <a:effectLst/>
              <a:latin typeface="+mn-lt"/>
              <a:ea typeface="+mn-ea"/>
              <a:cs typeface="+mn-cs"/>
            </a:rPr>
            <a:t>Dallas Lock</a:t>
          </a:r>
          <a:r>
            <a:rPr lang="ru-RU" sz="1100">
              <a:solidFill>
                <a:schemeClr val="dk1"/>
              </a:solidFill>
              <a:effectLst/>
              <a:latin typeface="+mn-lt"/>
              <a:ea typeface="+mn-ea"/>
              <a:cs typeface="+mn-cs"/>
            </a:rPr>
            <a:t> к ЕЦУ </a:t>
          </a:r>
          <a:r>
            <a:rPr lang="en-US" sz="1100">
              <a:solidFill>
                <a:schemeClr val="dk1"/>
              </a:solidFill>
              <a:effectLst/>
              <a:latin typeface="+mn-lt"/>
              <a:ea typeface="+mn-ea"/>
              <a:cs typeface="+mn-cs"/>
            </a:rPr>
            <a:t>Dallas Lock</a:t>
          </a:r>
          <a:r>
            <a:rPr lang="ru-RU" sz="1100">
              <a:solidFill>
                <a:schemeClr val="dk1"/>
              </a:solidFill>
              <a:effectLst/>
              <a:latin typeface="+mn-lt"/>
              <a:ea typeface="+mn-ea"/>
              <a:cs typeface="+mn-cs"/>
            </a:rPr>
            <a:t> равна суммарному количеству квот на </a:t>
          </a:r>
          <a:r>
            <a:rPr lang="en-US" sz="1100">
              <a:solidFill>
                <a:schemeClr val="dk1"/>
              </a:solidFill>
              <a:effectLst/>
              <a:latin typeface="+mn-lt"/>
              <a:ea typeface="+mn-ea"/>
              <a:cs typeface="+mn-cs"/>
            </a:rPr>
            <a:t>Dallas Lock</a:t>
          </a:r>
          <a:r>
            <a:rPr lang="ru-RU" sz="1100">
              <a:solidFill>
                <a:schemeClr val="dk1"/>
              </a:solidFill>
              <a:effectLst/>
              <a:latin typeface="+mn-lt"/>
              <a:ea typeface="+mn-ea"/>
              <a:cs typeface="+mn-cs"/>
            </a:rPr>
            <a:t>. </a:t>
          </a:r>
        </a:p>
        <a:p>
          <a:pPr algn="l"/>
          <a:r>
            <a:rPr lang="ru-RU" sz="1100">
              <a:solidFill>
                <a:schemeClr val="dk1"/>
              </a:solidFill>
              <a:effectLst/>
              <a:latin typeface="+mn-lt"/>
              <a:ea typeface="+mn-ea"/>
              <a:cs typeface="+mn-cs"/>
            </a:rPr>
            <a:t>• Комплекс СЗИ, включающий средство централизованного сетевого управления (ЕЦУ </a:t>
          </a:r>
          <a:r>
            <a:rPr lang="en-US" sz="1100">
              <a:solidFill>
                <a:schemeClr val="dk1"/>
              </a:solidFill>
              <a:effectLst/>
              <a:latin typeface="+mn-lt"/>
              <a:ea typeface="+mn-ea"/>
              <a:cs typeface="+mn-cs"/>
            </a:rPr>
            <a:t>Dallas Lock</a:t>
          </a:r>
          <a:r>
            <a:rPr lang="ru-RU" sz="1100">
              <a:solidFill>
                <a:schemeClr val="dk1"/>
              </a:solidFill>
              <a:effectLst/>
              <a:latin typeface="+mn-lt"/>
              <a:ea typeface="+mn-ea"/>
              <a:cs typeface="+mn-cs"/>
            </a:rPr>
            <a:t>), может быть использован для защиты сведений, составляющих государственную тайну до уровня совершенно секретно при использовании соответствующих версий и редакций продуктов </a:t>
          </a:r>
          <a:r>
            <a:rPr lang="en-US" sz="1100">
              <a:solidFill>
                <a:schemeClr val="dk1"/>
              </a:solidFill>
              <a:effectLst/>
              <a:latin typeface="+mn-lt"/>
              <a:ea typeface="+mn-ea"/>
              <a:cs typeface="+mn-cs"/>
            </a:rPr>
            <a:t>Dallas Lock</a:t>
          </a:r>
          <a:r>
            <a:rPr lang="ru-RU" sz="1100">
              <a:solidFill>
                <a:schemeClr val="dk1"/>
              </a:solidFill>
              <a:effectLst/>
              <a:latin typeface="+mn-lt"/>
              <a:ea typeface="+mn-ea"/>
              <a:cs typeface="+mn-cs"/>
            </a:rPr>
            <a:t>.</a:t>
          </a:r>
        </a:p>
        <a:p>
          <a:pPr algn="l"/>
          <a:r>
            <a:rPr lang="ru-RU" sz="1100">
              <a:solidFill>
                <a:schemeClr val="dk1"/>
              </a:solidFill>
              <a:effectLst/>
              <a:latin typeface="+mn-lt"/>
              <a:ea typeface="+mn-ea"/>
              <a:cs typeface="+mn-cs"/>
            </a:rPr>
            <a:t>• Для централизованного управления СДЗ </a:t>
          </a:r>
          <a:r>
            <a:rPr lang="en-US" sz="1100">
              <a:solidFill>
                <a:schemeClr val="dk1"/>
              </a:solidFill>
              <a:effectLst/>
              <a:latin typeface="+mn-lt"/>
              <a:ea typeface="+mn-ea"/>
              <a:cs typeface="+mn-cs"/>
            </a:rPr>
            <a:t>Dallas Lock</a:t>
          </a:r>
          <a:r>
            <a:rPr lang="ru-RU" sz="1100">
              <a:solidFill>
                <a:schemeClr val="dk1"/>
              </a:solidFill>
              <a:effectLst/>
              <a:latin typeface="+mn-lt"/>
              <a:ea typeface="+mn-ea"/>
              <a:cs typeface="+mn-cs"/>
            </a:rPr>
            <a:t> УБ (уровня </a:t>
          </a:r>
          <a:r>
            <a:rPr lang="en-US" sz="1100">
              <a:solidFill>
                <a:schemeClr val="dk1"/>
              </a:solidFill>
              <a:effectLst/>
              <a:latin typeface="+mn-lt"/>
              <a:ea typeface="+mn-ea"/>
              <a:cs typeface="+mn-cs"/>
            </a:rPr>
            <a:t>BIOS) </a:t>
          </a:r>
          <a:r>
            <a:rPr lang="ru-RU" sz="1100">
              <a:solidFill>
                <a:schemeClr val="dk1"/>
              </a:solidFill>
              <a:effectLst/>
              <a:latin typeface="+mn-lt"/>
              <a:ea typeface="+mn-ea"/>
              <a:cs typeface="+mn-cs"/>
            </a:rPr>
            <a:t>необходим ЕЦУ </a:t>
          </a:r>
          <a:r>
            <a:rPr lang="en-US" sz="1100">
              <a:solidFill>
                <a:schemeClr val="dk1"/>
              </a:solidFill>
              <a:effectLst/>
              <a:latin typeface="+mn-lt"/>
              <a:ea typeface="+mn-ea"/>
              <a:cs typeface="+mn-cs"/>
            </a:rPr>
            <a:t>Dallas Lock</a:t>
          </a:r>
          <a:r>
            <a:rPr lang="ru-RU" sz="1100">
              <a:solidFill>
                <a:schemeClr val="dk1"/>
              </a:solidFill>
              <a:effectLst/>
              <a:latin typeface="+mn-lt"/>
              <a:ea typeface="+mn-ea"/>
              <a:cs typeface="+mn-cs"/>
            </a:rPr>
            <a:t> версии не ниже 176.</a:t>
          </a:r>
        </a:p>
        <a:p>
          <a:pPr algn="l"/>
          <a:endParaRPr lang="ru-RU">
            <a:solidFill>
              <a:srgbClr val="FF0000"/>
            </a:solidFill>
            <a:effectLst/>
          </a:endParaRPr>
        </a:p>
      </xdr:txBody>
    </xdr:sp>
    <xdr:clientData/>
  </xdr:twoCellAnchor>
  <xdr:twoCellAnchor>
    <xdr:from>
      <xdr:col>0</xdr:col>
      <xdr:colOff>66674</xdr:colOff>
      <xdr:row>76</xdr:row>
      <xdr:rowOff>155349</xdr:rowOff>
    </xdr:from>
    <xdr:to>
      <xdr:col>12</xdr:col>
      <xdr:colOff>93387</xdr:colOff>
      <xdr:row>83</xdr:row>
      <xdr:rowOff>152397</xdr:rowOff>
    </xdr:to>
    <xdr:grpSp>
      <xdr:nvGrpSpPr>
        <xdr:cNvPr id="9" name="Группа 8">
          <a:extLst>
            <a:ext uri="{FF2B5EF4-FFF2-40B4-BE49-F238E27FC236}">
              <a16:creationId xmlns:a16="http://schemas.microsoft.com/office/drawing/2014/main" xmlns="" id="{00000000-0008-0000-0200-000009000000}"/>
            </a:ext>
          </a:extLst>
        </xdr:cNvPr>
        <xdr:cNvGrpSpPr/>
      </xdr:nvGrpSpPr>
      <xdr:grpSpPr>
        <a:xfrm>
          <a:off x="66674" y="23929749"/>
          <a:ext cx="12933088" cy="1330548"/>
          <a:chOff x="54739" y="13898021"/>
          <a:chExt cx="12076463" cy="1715359"/>
        </a:xfrm>
      </xdr:grpSpPr>
      <xdr:sp macro="" textlink="">
        <xdr:nvSpPr>
          <xdr:cNvPr id="10" name="TextBox 9">
            <a:extLst>
              <a:ext uri="{FF2B5EF4-FFF2-40B4-BE49-F238E27FC236}">
                <a16:creationId xmlns:a16="http://schemas.microsoft.com/office/drawing/2014/main" xmlns="" id="{00000000-0008-0000-0200-00000A000000}"/>
              </a:ext>
            </a:extLst>
          </xdr:cNvPr>
          <xdr:cNvSpPr txBox="1"/>
        </xdr:nvSpPr>
        <xdr:spPr>
          <a:xfrm>
            <a:off x="54739" y="13991489"/>
            <a:ext cx="11899451" cy="162189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baseline="0">
                <a:solidFill>
                  <a:schemeClr val="dk1"/>
                </a:solidFill>
                <a:latin typeface="+mn-lt"/>
                <a:ea typeface="+mn-ea"/>
                <a:cs typeface="Arial" panose="020B0604020202020204" pitchFamily="34" charset="0"/>
              </a:rPr>
              <a:t>* DLTBC</a:t>
            </a:r>
            <a:r>
              <a:rPr lang="en-US" sz="1100" b="0" i="0" baseline="0">
                <a:solidFill>
                  <a:schemeClr val="dk1"/>
                </a:solidFill>
                <a:effectLst/>
                <a:latin typeface="+mn-lt"/>
                <a:ea typeface="+mn-ea"/>
                <a:cs typeface="+mn-cs"/>
              </a:rPr>
              <a:t> – </a:t>
            </a:r>
            <a:r>
              <a:rPr lang="ru-RU" sz="1100" b="0" i="0" baseline="0">
                <a:solidFill>
                  <a:schemeClr val="dk1"/>
                </a:solidFill>
                <a:effectLst/>
                <a:latin typeface="+mn-lt"/>
                <a:ea typeface="+mn-ea"/>
                <a:cs typeface="+mn-cs"/>
              </a:rPr>
              <a:t>СДЗ уровня платы расширения с сертификатом соответствия ФСТЭК России (для поставок СДЗ с сертификатом соответствия Минобороны России необходимо в артикулах вместо </a:t>
            </a:r>
            <a:r>
              <a:rPr lang="en-US" sz="1100" b="0" i="0" baseline="0">
                <a:solidFill>
                  <a:schemeClr val="dk1"/>
                </a:solidFill>
                <a:effectLst/>
                <a:latin typeface="+mn-lt"/>
                <a:ea typeface="+mn-ea"/>
                <a:cs typeface="+mn-cs"/>
              </a:rPr>
              <a:t>DLTBC </a:t>
            </a:r>
            <a:r>
              <a:rPr lang="ru-RU" sz="1100" b="0" i="0" baseline="0">
                <a:solidFill>
                  <a:schemeClr val="dk1"/>
                </a:solidFill>
                <a:effectLst/>
                <a:latin typeface="+mn-lt"/>
                <a:ea typeface="+mn-ea"/>
                <a:cs typeface="+mn-cs"/>
              </a:rPr>
              <a:t>использовать </a:t>
            </a:r>
            <a:r>
              <a:rPr lang="en-US" sz="1100" b="0" i="0" baseline="0">
                <a:solidFill>
                  <a:schemeClr val="dk1"/>
                </a:solidFill>
                <a:effectLst/>
                <a:latin typeface="+mn-lt"/>
                <a:ea typeface="+mn-ea"/>
                <a:cs typeface="+mn-cs"/>
              </a:rPr>
              <a:t>DLTBCMO</a:t>
            </a:r>
            <a:r>
              <a:rPr lang="ru-RU" sz="1100" b="0" i="0" baseline="0">
                <a:solidFill>
                  <a:schemeClr val="dk1"/>
                </a:solidFill>
                <a:effectLst/>
                <a:latin typeface="+mn-lt"/>
                <a:ea typeface="+mn-ea"/>
                <a:cs typeface="+mn-cs"/>
              </a:rPr>
              <a:t>); </a:t>
            </a:r>
            <a:r>
              <a:rPr lang="en-US" sz="1100" b="0" i="0" u="none" strike="noStrike" baseline="0">
                <a:solidFill>
                  <a:schemeClr val="dk1"/>
                </a:solidFill>
                <a:latin typeface="+mn-lt"/>
                <a:ea typeface="+mn-ea"/>
                <a:cs typeface="Arial" panose="020B0604020202020204" pitchFamily="34" charset="0"/>
              </a:rPr>
              <a:t>«x» – </a:t>
            </a:r>
            <a:r>
              <a:rPr lang="ru-RU" sz="1100" b="0" i="0" u="none" strike="noStrike" baseline="0">
                <a:solidFill>
                  <a:schemeClr val="dk1"/>
                </a:solidFill>
                <a:latin typeface="+mn-lt"/>
                <a:ea typeface="+mn-ea"/>
                <a:cs typeface="Arial" panose="020B0604020202020204" pitchFamily="34" charset="0"/>
              </a:rPr>
              <a:t>форм-фактор: </a:t>
            </a:r>
            <a:r>
              <a:rPr lang="en-US" sz="1100" b="0" i="0" u="none" strike="noStrike" baseline="0">
                <a:solidFill>
                  <a:schemeClr val="dk1"/>
                </a:solidFill>
                <a:latin typeface="+mn-lt"/>
                <a:ea typeface="+mn-ea"/>
                <a:cs typeface="Arial" panose="020B0604020202020204" pitchFamily="34" charset="0"/>
              </a:rPr>
              <a:t>PCIE – PCI-Express Full Size</a:t>
            </a:r>
            <a:r>
              <a:rPr lang="ru-RU" sz="1100" b="0" i="0" u="none" strike="noStrike" baseline="0">
                <a:solidFill>
                  <a:schemeClr val="dk1"/>
                </a:solidFill>
                <a:latin typeface="+mn-lt"/>
                <a:ea typeface="+mn-ea"/>
                <a:cs typeface="Arial" panose="020B0604020202020204" pitchFamily="34" charset="0"/>
              </a:rPr>
              <a:t>, </a:t>
            </a:r>
            <a:r>
              <a:rPr lang="en-US" sz="1100" b="0" i="0" u="none" strike="noStrike" baseline="0">
                <a:solidFill>
                  <a:schemeClr val="dk1"/>
                </a:solidFill>
                <a:latin typeface="+mn-lt"/>
                <a:ea typeface="+mn-ea"/>
                <a:cs typeface="Arial" panose="020B0604020202020204" pitchFamily="34" charset="0"/>
              </a:rPr>
              <a:t>MPCIE – mini PCI-Express Half Size</a:t>
            </a:r>
            <a:r>
              <a:rPr lang="ru-RU" sz="1100" b="0" i="0" u="none" strike="noStrike" baseline="0">
                <a:solidFill>
                  <a:schemeClr val="dk1"/>
                </a:solidFill>
                <a:latin typeface="+mn-lt"/>
                <a:ea typeface="+mn-ea"/>
                <a:cs typeface="Arial" panose="020B0604020202020204" pitchFamily="34" charset="0"/>
              </a:rPr>
              <a:t>, </a:t>
            </a:r>
            <a:r>
              <a:rPr lang="en-US" sz="1100" b="0" i="0" u="none" strike="noStrike" baseline="0">
                <a:solidFill>
                  <a:schemeClr val="dk1"/>
                </a:solidFill>
                <a:latin typeface="+mn-lt"/>
                <a:ea typeface="+mn-ea"/>
                <a:cs typeface="Arial" panose="020B0604020202020204" pitchFamily="34" charset="0"/>
              </a:rPr>
              <a:t>M2 – M.2</a:t>
            </a:r>
            <a:r>
              <a:rPr lang="ru-RU" sz="1100" b="0" i="0" u="none" strike="noStrike" baseline="0">
                <a:solidFill>
                  <a:schemeClr val="dk1"/>
                </a:solidFill>
                <a:latin typeface="+mn-lt"/>
                <a:ea typeface="+mn-ea"/>
                <a:cs typeface="Arial" panose="020B0604020202020204" pitchFamily="34" charset="0"/>
              </a:rPr>
              <a:t>; «</a:t>
            </a:r>
            <a:r>
              <a:rPr lang="en-US" sz="1100" b="0" i="0" u="none" strike="noStrike" baseline="0">
                <a:solidFill>
                  <a:schemeClr val="dk1"/>
                </a:solidFill>
                <a:latin typeface="+mn-lt"/>
                <a:ea typeface="+mn-ea"/>
                <a:cs typeface="Arial" panose="020B0604020202020204" pitchFamily="34" charset="0"/>
              </a:rPr>
              <a:t>y» – </a:t>
            </a:r>
            <a:r>
              <a:rPr lang="ru-RU" sz="1100" b="0" i="0" u="none" strike="noStrike" baseline="0">
                <a:solidFill>
                  <a:schemeClr val="dk1"/>
                </a:solidFill>
                <a:latin typeface="+mn-lt"/>
                <a:ea typeface="+mn-ea"/>
                <a:cs typeface="Arial" panose="020B0604020202020204" pitchFamily="34" charset="0"/>
              </a:rPr>
              <a:t>диапазон количества приобретаемых СДЗ</a:t>
            </a:r>
            <a:r>
              <a:rPr lang="ru-RU" sz="1100" b="0" i="0" baseline="0">
                <a:solidFill>
                  <a:schemeClr val="dk1"/>
                </a:solidFill>
                <a:effectLst/>
                <a:latin typeface="+mn-lt"/>
                <a:ea typeface="+mn-ea"/>
                <a:cs typeface="+mn-cs"/>
              </a:rPr>
              <a:t>; «</a:t>
            </a:r>
            <a:r>
              <a:rPr lang="en-US" sz="1100" b="0" i="0" baseline="0">
                <a:solidFill>
                  <a:schemeClr val="dk1"/>
                </a:solidFill>
                <a:effectLst/>
                <a:latin typeface="+mn-lt"/>
                <a:ea typeface="+mn-ea"/>
                <a:cs typeface="+mn-cs"/>
              </a:rPr>
              <a:t>z» – </a:t>
            </a:r>
            <a:r>
              <a:rPr lang="ru-RU" sz="1100" b="0" i="0" baseline="0">
                <a:solidFill>
                  <a:schemeClr val="dk1"/>
                </a:solidFill>
                <a:effectLst/>
                <a:latin typeface="+mn-lt"/>
                <a:ea typeface="+mn-ea"/>
                <a:cs typeface="+mn-cs"/>
              </a:rPr>
              <a:t>срок оказания гарантийного сопровождения: </a:t>
            </a:r>
            <a:r>
              <a:rPr lang="en-US" sz="1100" b="0" i="0" baseline="0">
                <a:solidFill>
                  <a:schemeClr val="dk1"/>
                </a:solidFill>
                <a:effectLst/>
                <a:latin typeface="+mn-lt"/>
                <a:ea typeface="+mn-ea"/>
                <a:cs typeface="+mn-cs"/>
              </a:rPr>
              <a:t>12M </a:t>
            </a:r>
            <a:r>
              <a:rPr lang="ru-RU" sz="1100" b="0" i="0" baseline="0">
                <a:solidFill>
                  <a:schemeClr val="dk1"/>
                </a:solidFill>
                <a:effectLst/>
                <a:latin typeface="+mn-lt"/>
                <a:ea typeface="+mn-ea"/>
                <a:cs typeface="+mn-cs"/>
              </a:rPr>
              <a:t>–</a:t>
            </a:r>
            <a:r>
              <a:rPr lang="en-US" sz="1100" b="0" i="0" baseline="0">
                <a:solidFill>
                  <a:schemeClr val="dk1"/>
                </a:solidFill>
                <a:effectLst/>
                <a:latin typeface="+mn-lt"/>
                <a:ea typeface="+mn-ea"/>
                <a:cs typeface="+mn-cs"/>
              </a:rPr>
              <a:t> </a:t>
            </a:r>
            <a:r>
              <a:rPr lang="ru-RU" sz="1100" b="0" i="0" baseline="0">
                <a:solidFill>
                  <a:schemeClr val="dk1"/>
                </a:solidFill>
                <a:effectLst/>
                <a:latin typeface="+mn-lt"/>
                <a:ea typeface="+mn-ea"/>
                <a:cs typeface="+mn-cs"/>
              </a:rPr>
              <a:t>12 месяцев, 36</a:t>
            </a:r>
            <a:r>
              <a:rPr lang="en-US" sz="1100" b="0" i="0" baseline="0">
                <a:solidFill>
                  <a:schemeClr val="dk1"/>
                </a:solidFill>
                <a:effectLst/>
                <a:latin typeface="+mn-lt"/>
                <a:ea typeface="+mn-ea"/>
                <a:cs typeface="+mn-cs"/>
              </a:rPr>
              <a:t>M </a:t>
            </a:r>
            <a:r>
              <a:rPr lang="ru-RU" sz="1100" b="0" i="0" baseline="0">
                <a:solidFill>
                  <a:schemeClr val="dk1"/>
                </a:solidFill>
                <a:effectLst/>
                <a:latin typeface="+mn-lt"/>
                <a:ea typeface="+mn-ea"/>
                <a:cs typeface="+mn-cs"/>
              </a:rPr>
              <a:t>–</a:t>
            </a:r>
            <a:r>
              <a:rPr lang="en-US" sz="1100" b="0" i="0" baseline="0">
                <a:solidFill>
                  <a:schemeClr val="dk1"/>
                </a:solidFill>
                <a:effectLst/>
                <a:latin typeface="+mn-lt"/>
                <a:ea typeface="+mn-ea"/>
                <a:cs typeface="+mn-cs"/>
              </a:rPr>
              <a:t> </a:t>
            </a:r>
            <a:r>
              <a:rPr lang="ru-RU" sz="1100" b="0" i="0" baseline="0">
                <a:solidFill>
                  <a:schemeClr val="dk1"/>
                </a:solidFill>
                <a:effectLst/>
                <a:latin typeface="+mn-lt"/>
                <a:ea typeface="+mn-ea"/>
                <a:cs typeface="+mn-cs"/>
              </a:rPr>
              <a:t>36 месяцев.</a:t>
            </a:r>
            <a:endParaRPr lang="ru-RU" sz="1100" b="0" i="0" u="none" strike="noStrike" baseline="0">
              <a:solidFill>
                <a:schemeClr val="dk1"/>
              </a:solidFill>
              <a:latin typeface="+mn-lt"/>
              <a:ea typeface="+mn-ea"/>
              <a:cs typeface="Arial" panose="020B0604020202020204" pitchFamily="34" charset="0"/>
            </a:endParaRPr>
          </a:p>
          <a:p>
            <a:r>
              <a:rPr lang="ru-RU" sz="1100" b="0" i="0" u="none" strike="noStrike" baseline="0">
                <a:solidFill>
                  <a:schemeClr val="dk1"/>
                </a:solidFill>
                <a:latin typeface="+mn-lt"/>
                <a:ea typeface="+mn-ea"/>
                <a:cs typeface="Arial" panose="020B0604020202020204" pitchFamily="34" charset="0"/>
              </a:rPr>
              <a:t>** В стоимость входит НДС 2</a:t>
            </a:r>
            <a:r>
              <a:rPr lang="en-US" sz="1100" b="0" i="0" u="none" strike="noStrike" baseline="0">
                <a:solidFill>
                  <a:schemeClr val="dk1"/>
                </a:solidFill>
                <a:latin typeface="+mn-lt"/>
                <a:ea typeface="+mn-ea"/>
                <a:cs typeface="Arial" panose="020B0604020202020204" pitchFamily="34" charset="0"/>
              </a:rPr>
              <a:t>2</a:t>
            </a:r>
            <a:r>
              <a:rPr lang="ru-RU" sz="1100" b="0" i="0" u="none" strike="noStrike" baseline="0">
                <a:solidFill>
                  <a:schemeClr val="dk1"/>
                </a:solidFill>
                <a:latin typeface="+mn-lt"/>
                <a:ea typeface="+mn-ea"/>
                <a:cs typeface="Arial" panose="020B0604020202020204" pitchFamily="34" charset="0"/>
              </a:rPr>
              <a:t>%.</a:t>
            </a:r>
          </a:p>
          <a:p>
            <a:r>
              <a:rPr lang="ru-RU" sz="1100" b="0" i="0">
                <a:solidFill>
                  <a:schemeClr val="dk1"/>
                </a:solidFill>
                <a:effectLst/>
                <a:latin typeface="+mn-lt"/>
                <a:ea typeface="+mn-ea"/>
                <a:cs typeface="+mn-cs"/>
              </a:rPr>
              <a:t>*** На основании статьи № 149 п. 2 пп. 26 НК РФ стоимость передаваемых неисключительных прав на используемое программное обеспечение не облагается НДС.</a:t>
            </a:r>
          </a:p>
          <a:p>
            <a:r>
              <a:rPr lang="ru-RU" sz="1100" b="0" i="0">
                <a:solidFill>
                  <a:schemeClr val="dk1"/>
                </a:solidFill>
                <a:effectLst/>
                <a:latin typeface="+mn-lt"/>
                <a:ea typeface="+mn-ea"/>
                <a:cs typeface="+mn-cs"/>
              </a:rPr>
              <a:t>**** Доступно к заказу</a:t>
            </a:r>
            <a:r>
              <a:rPr lang="en-US" sz="1100" b="0" i="0">
                <a:solidFill>
                  <a:schemeClr val="dk1"/>
                </a:solidFill>
                <a:effectLst/>
                <a:latin typeface="+mn-lt"/>
                <a:ea typeface="+mn-ea"/>
                <a:cs typeface="+mn-cs"/>
              </a:rPr>
              <a:t>:</a:t>
            </a:r>
            <a:r>
              <a:rPr lang="ru-RU" sz="1100" b="0" i="0" baseline="0">
                <a:solidFill>
                  <a:schemeClr val="dk1"/>
                </a:solidFill>
                <a:effectLst/>
                <a:latin typeface="+mn-lt"/>
                <a:ea typeface="+mn-ea"/>
                <a:cs typeface="+mn-cs"/>
              </a:rPr>
              <a:t> 1 квартал 2027, после прохождения процедуры сертификации.</a:t>
            </a:r>
            <a:endParaRPr lang="ru-RU" sz="1100" b="0" i="0">
              <a:solidFill>
                <a:schemeClr val="dk1"/>
              </a:solidFill>
              <a:effectLst/>
              <a:latin typeface="+mn-lt"/>
              <a:ea typeface="+mn-ea"/>
              <a:cs typeface="+mn-cs"/>
            </a:endParaRPr>
          </a:p>
        </xdr:txBody>
      </xdr:sp>
      <xdr:cxnSp macro="">
        <xdr:nvCxnSpPr>
          <xdr:cNvPr id="11" name="Прямая соединительная линия 10">
            <a:extLst>
              <a:ext uri="{FF2B5EF4-FFF2-40B4-BE49-F238E27FC236}">
                <a16:creationId xmlns:a16="http://schemas.microsoft.com/office/drawing/2014/main" xmlns="" id="{00000000-0008-0000-0200-00000B000000}"/>
              </a:ext>
            </a:extLst>
          </xdr:cNvPr>
          <xdr:cNvCxnSpPr/>
        </xdr:nvCxnSpPr>
        <xdr:spPr>
          <a:xfrm>
            <a:off x="92748" y="13898021"/>
            <a:ext cx="12038454" cy="33036"/>
          </a:xfrm>
          <a:prstGeom prst="line">
            <a:avLst/>
          </a:prstGeom>
        </xdr:spPr>
        <xdr:style>
          <a:lnRef idx="1">
            <a:schemeClr val="dk1"/>
          </a:lnRef>
          <a:fillRef idx="0">
            <a:schemeClr val="dk1"/>
          </a:fillRef>
          <a:effectRef idx="0">
            <a:schemeClr val="dk1"/>
          </a:effectRef>
          <a:fontRef idx="minor">
            <a:schemeClr val="tx1"/>
          </a:fontRef>
        </xdr:style>
      </xdr:cxnSp>
    </xdr:grpSp>
    <xdr:clientData/>
  </xdr:twoCellAnchor>
  <xdr:twoCellAnchor editAs="oneCell">
    <xdr:from>
      <xdr:col>0</xdr:col>
      <xdr:colOff>68578</xdr:colOff>
      <xdr:row>67</xdr:row>
      <xdr:rowOff>171840</xdr:rowOff>
    </xdr:from>
    <xdr:to>
      <xdr:col>12</xdr:col>
      <xdr:colOff>92074</xdr:colOff>
      <xdr:row>71</xdr:row>
      <xdr:rowOff>159587</xdr:rowOff>
    </xdr:to>
    <xdr:pic>
      <xdr:nvPicPr>
        <xdr:cNvPr id="12" name="Рисунок 11">
          <a:extLst>
            <a:ext uri="{FF2B5EF4-FFF2-40B4-BE49-F238E27FC236}">
              <a16:creationId xmlns:a16="http://schemas.microsoft.com/office/drawing/2014/main" xmlns="" id="{00000000-0008-0000-0200-00000C000000}"/>
            </a:ext>
          </a:extLst>
        </xdr:cNvPr>
        <xdr:cNvPicPr>
          <a:picLocks noChangeAspect="1"/>
        </xdr:cNvPicPr>
      </xdr:nvPicPr>
      <xdr:blipFill>
        <a:blip xmlns:r="http://schemas.openxmlformats.org/officeDocument/2006/relationships" r:embed="rId1"/>
        <a:stretch>
          <a:fillRect/>
        </a:stretch>
      </xdr:blipFill>
      <xdr:spPr>
        <a:xfrm>
          <a:off x="68578" y="22222215"/>
          <a:ext cx="12866371" cy="749747"/>
        </a:xfrm>
        <a:prstGeom prst="rect">
          <a:avLst/>
        </a:prstGeom>
      </xdr:spPr>
    </xdr:pic>
    <xdr:clientData/>
  </xdr:twoCellAnchor>
  <xdr:twoCellAnchor editAs="oneCell">
    <xdr:from>
      <xdr:col>4</xdr:col>
      <xdr:colOff>509084</xdr:colOff>
      <xdr:row>2</xdr:row>
      <xdr:rowOff>115868</xdr:rowOff>
    </xdr:from>
    <xdr:to>
      <xdr:col>4</xdr:col>
      <xdr:colOff>687223</xdr:colOff>
      <xdr:row>2</xdr:row>
      <xdr:rowOff>305437</xdr:rowOff>
    </xdr:to>
    <xdr:pic>
      <xdr:nvPicPr>
        <xdr:cNvPr id="15" name="Рисунок 14">
          <a:extLst>
            <a:ext uri="{FF2B5EF4-FFF2-40B4-BE49-F238E27FC236}">
              <a16:creationId xmlns:a16="http://schemas.microsoft.com/office/drawing/2014/main" xmlns="" id="{00000000-0008-0000-0200-00000F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7435664" y="1380788"/>
          <a:ext cx="178139" cy="189569"/>
        </a:xfrm>
        <a:prstGeom prst="rect">
          <a:avLst/>
        </a:prstGeom>
      </xdr:spPr>
    </xdr:pic>
    <xdr:clientData/>
  </xdr:twoCellAnchor>
  <xdr:twoCellAnchor>
    <xdr:from>
      <xdr:col>0</xdr:col>
      <xdr:colOff>76201</xdr:colOff>
      <xdr:row>1</xdr:row>
      <xdr:rowOff>1074420</xdr:rowOff>
    </xdr:from>
    <xdr:to>
      <xdr:col>12</xdr:col>
      <xdr:colOff>76200</xdr:colOff>
      <xdr:row>3</xdr:row>
      <xdr:rowOff>20955</xdr:rowOff>
    </xdr:to>
    <xdr:sp macro="" textlink="">
      <xdr:nvSpPr>
        <xdr:cNvPr id="17" name="Прямоугольник 16">
          <a:hlinkClick xmlns:r="http://schemas.openxmlformats.org/officeDocument/2006/relationships" r:id="rId3"/>
          <a:extLst>
            <a:ext uri="{FF2B5EF4-FFF2-40B4-BE49-F238E27FC236}">
              <a16:creationId xmlns:a16="http://schemas.microsoft.com/office/drawing/2014/main" xmlns="" id="{00000000-0008-0000-0200-000011000000}"/>
            </a:ext>
          </a:extLst>
        </xdr:cNvPr>
        <xdr:cNvSpPr/>
      </xdr:nvSpPr>
      <xdr:spPr>
        <a:xfrm>
          <a:off x="76201" y="1257300"/>
          <a:ext cx="12717779" cy="40195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editAs="oneCell">
    <xdr:from>
      <xdr:col>0</xdr:col>
      <xdr:colOff>0</xdr:colOff>
      <xdr:row>0</xdr:row>
      <xdr:rowOff>0</xdr:rowOff>
    </xdr:from>
    <xdr:to>
      <xdr:col>12</xdr:col>
      <xdr:colOff>85725</xdr:colOff>
      <xdr:row>2</xdr:row>
      <xdr:rowOff>22860</xdr:rowOff>
    </xdr:to>
    <xdr:pic>
      <xdr:nvPicPr>
        <xdr:cNvPr id="18" name="Рисунок 17">
          <a:hlinkClick xmlns:r="http://schemas.openxmlformats.org/officeDocument/2006/relationships" r:id="rId4"/>
          <a:extLst>
            <a:ext uri="{FF2B5EF4-FFF2-40B4-BE49-F238E27FC236}">
              <a16:creationId xmlns:a16="http://schemas.microsoft.com/office/drawing/2014/main" xmlns="" id="{00000000-0008-0000-0200-000012000000}"/>
            </a:ext>
          </a:extLst>
        </xdr:cNvPr>
        <xdr:cNvPicPr>
          <a:picLocks noChangeAspect="1"/>
        </xdr:cNvPicPr>
      </xdr:nvPicPr>
      <xdr:blipFill>
        <a:blip xmlns:r="http://schemas.openxmlformats.org/officeDocument/2006/relationships" r:embed="rId5"/>
        <a:stretch>
          <a:fillRect/>
        </a:stretch>
      </xdr:blipFill>
      <xdr:spPr>
        <a:xfrm>
          <a:off x="0" y="0"/>
          <a:ext cx="12992100" cy="129921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10</xdr:col>
          <xdr:colOff>504825</xdr:colOff>
          <xdr:row>5</xdr:row>
          <xdr:rowOff>47625</xdr:rowOff>
        </xdr:from>
        <xdr:to>
          <xdr:col>11</xdr:col>
          <xdr:colOff>47625</xdr:colOff>
          <xdr:row>6</xdr:row>
          <xdr:rowOff>200025</xdr:rowOff>
        </xdr:to>
        <xdr:sp macro="" textlink="">
          <xdr:nvSpPr>
            <xdr:cNvPr id="10243" name="Check Box 3" hidden="1">
              <a:extLst>
                <a:ext uri="{63B3BB69-23CF-44E3-9099-C40C66FF867C}">
                  <a14:compatExt spid="_x0000_s10243"/>
                </a:ext>
                <a:ext uri="{FF2B5EF4-FFF2-40B4-BE49-F238E27FC236}">
                  <a16:creationId xmlns:a16="http://schemas.microsoft.com/office/drawing/2014/main" xmlns="" id="{00000000-0008-0000-0200-00000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19050</xdr:colOff>
      <xdr:row>30</xdr:row>
      <xdr:rowOff>28575</xdr:rowOff>
    </xdr:from>
    <xdr:to>
      <xdr:col>12</xdr:col>
      <xdr:colOff>85725</xdr:colOff>
      <xdr:row>30</xdr:row>
      <xdr:rowOff>558722</xdr:rowOff>
    </xdr:to>
    <xdr:pic>
      <xdr:nvPicPr>
        <xdr:cNvPr id="5" name="Рисунок 4">
          <a:extLst>
            <a:ext uri="{FF2B5EF4-FFF2-40B4-BE49-F238E27FC236}">
              <a16:creationId xmlns:a16="http://schemas.microsoft.com/office/drawing/2014/main" xmlns="" id="{00000000-0008-0000-0200-000005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9050" y="11315700"/>
          <a:ext cx="12973050" cy="530147"/>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10</xdr:col>
          <xdr:colOff>533400</xdr:colOff>
          <xdr:row>21</xdr:row>
          <xdr:rowOff>95250</xdr:rowOff>
        </xdr:from>
        <xdr:to>
          <xdr:col>11</xdr:col>
          <xdr:colOff>76200</xdr:colOff>
          <xdr:row>23</xdr:row>
          <xdr:rowOff>9525</xdr:rowOff>
        </xdr:to>
        <xdr:sp macro="" textlink="">
          <xdr:nvSpPr>
            <xdr:cNvPr id="10244" name="Check Box 4" hidden="1">
              <a:extLst>
                <a:ext uri="{63B3BB69-23CF-44E3-9099-C40C66FF867C}">
                  <a14:compatExt spid="_x0000_s10244"/>
                </a:ext>
                <a:ext uri="{FF2B5EF4-FFF2-40B4-BE49-F238E27FC236}">
                  <a16:creationId xmlns:a16="http://schemas.microsoft.com/office/drawing/2014/main" xmlns="" id="{00000000-0008-0000-0200-00000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26</xdr:row>
          <xdr:rowOff>95250</xdr:rowOff>
        </xdr:from>
        <xdr:to>
          <xdr:col>3</xdr:col>
          <xdr:colOff>209550</xdr:colOff>
          <xdr:row>28</xdr:row>
          <xdr:rowOff>19050</xdr:rowOff>
        </xdr:to>
        <xdr:sp macro="" textlink="">
          <xdr:nvSpPr>
            <xdr:cNvPr id="10247" name="Check Box 7" hidden="1">
              <a:extLst>
                <a:ext uri="{63B3BB69-23CF-44E3-9099-C40C66FF867C}">
                  <a14:compatExt spid="_x0000_s10247"/>
                </a:ext>
                <a:ext uri="{FF2B5EF4-FFF2-40B4-BE49-F238E27FC236}">
                  <a16:creationId xmlns:a16="http://schemas.microsoft.com/office/drawing/2014/main" xmlns="" id="{00000000-0008-0000-0200-00000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533400</xdr:colOff>
          <xdr:row>26</xdr:row>
          <xdr:rowOff>95250</xdr:rowOff>
        </xdr:from>
        <xdr:to>
          <xdr:col>11</xdr:col>
          <xdr:colOff>76200</xdr:colOff>
          <xdr:row>28</xdr:row>
          <xdr:rowOff>9525</xdr:rowOff>
        </xdr:to>
        <xdr:sp macro="" textlink="">
          <xdr:nvSpPr>
            <xdr:cNvPr id="10248" name="Check Box 8" hidden="1">
              <a:extLst>
                <a:ext uri="{63B3BB69-23CF-44E3-9099-C40C66FF867C}">
                  <a14:compatExt spid="_x0000_s10248"/>
                </a:ext>
                <a:ext uri="{FF2B5EF4-FFF2-40B4-BE49-F238E27FC236}">
                  <a16:creationId xmlns:a16="http://schemas.microsoft.com/office/drawing/2014/main" xmlns="" id="{00000000-0008-0000-0200-00000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0</xdr:colOff>
      <xdr:row>28</xdr:row>
      <xdr:rowOff>518583</xdr:rowOff>
    </xdr:from>
    <xdr:to>
      <xdr:col>3</xdr:col>
      <xdr:colOff>179915</xdr:colOff>
      <xdr:row>30</xdr:row>
      <xdr:rowOff>52915</xdr:rowOff>
    </xdr:to>
    <xdr:sp macro="" textlink="">
      <xdr:nvSpPr>
        <xdr:cNvPr id="4" name="Прямоугольник 3">
          <a:hlinkClick xmlns:r="http://schemas.openxmlformats.org/officeDocument/2006/relationships" r:id="rId7"/>
          <a:extLst>
            <a:ext uri="{FF2B5EF4-FFF2-40B4-BE49-F238E27FC236}">
              <a16:creationId xmlns:a16="http://schemas.microsoft.com/office/drawing/2014/main" xmlns="" id="{00000000-0008-0000-0200-000004000000}"/>
            </a:ext>
          </a:extLst>
        </xdr:cNvPr>
        <xdr:cNvSpPr/>
      </xdr:nvSpPr>
      <xdr:spPr>
        <a:xfrm>
          <a:off x="0" y="8170333"/>
          <a:ext cx="5947832" cy="28574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1">
              <a:latin typeface="+mn-lt"/>
              <a:cs typeface="Arial" panose="020B0604020202020204" pitchFamily="34" charset="0"/>
            </a:rPr>
            <a:t>*</a:t>
          </a:r>
          <a:r>
            <a:rPr lang="ru-RU" sz="1100" b="1">
              <a:latin typeface="+mn-lt"/>
              <a:cs typeface="Arial" panose="020B0604020202020204" pitchFamily="34" charset="0"/>
            </a:rPr>
            <a:t>БОЛЕЕ ПОЛНЫЙ СПИСОК ВАРИАНТОВ ЕЦУ ВО ВКЛАДКЕ ЕЦУ</a:t>
          </a:r>
          <a:r>
            <a:rPr lang="ru-RU" sz="1100" b="1" baseline="0">
              <a:latin typeface="+mn-lt"/>
              <a:cs typeface="Arial" panose="020B0604020202020204" pitchFamily="34" charset="0"/>
            </a:rPr>
            <a:t> </a:t>
          </a:r>
          <a:r>
            <a:rPr lang="en-US" sz="1100" b="1" baseline="0">
              <a:latin typeface="+mn-lt"/>
              <a:cs typeface="Arial" panose="020B0604020202020204" pitchFamily="34" charset="0"/>
            </a:rPr>
            <a:t>DALLAS LOCK      </a:t>
          </a:r>
          <a:r>
            <a:rPr lang="en-US" sz="1100" b="1">
              <a:latin typeface="+mn-lt"/>
              <a:cs typeface="Arial" panose="020B0604020202020204" pitchFamily="34" charset="0"/>
            </a:rPr>
            <a:t>&gt;&gt;</a:t>
          </a:r>
          <a:endParaRPr lang="ru-RU" sz="1100" b="1">
            <a:latin typeface="+mn-lt"/>
            <a:cs typeface="Arial" panose="020B0604020202020204" pitchFamily="34" charset="0"/>
          </a:endParaRPr>
        </a:p>
      </xdr:txBody>
    </xdr:sp>
    <xdr:clientData/>
  </xdr:twoCellAnchor>
  <mc:AlternateContent xmlns:mc="http://schemas.openxmlformats.org/markup-compatibility/2006">
    <mc:Choice xmlns:a14="http://schemas.microsoft.com/office/drawing/2010/main" Requires="a14">
      <xdr:twoCellAnchor editAs="oneCell">
        <xdr:from>
          <xdr:col>3</xdr:col>
          <xdr:colOff>9525</xdr:colOff>
          <xdr:row>21</xdr:row>
          <xdr:rowOff>85725</xdr:rowOff>
        </xdr:from>
        <xdr:to>
          <xdr:col>3</xdr:col>
          <xdr:colOff>200025</xdr:colOff>
          <xdr:row>23</xdr:row>
          <xdr:rowOff>9525</xdr:rowOff>
        </xdr:to>
        <xdr:sp macro="" textlink="">
          <xdr:nvSpPr>
            <xdr:cNvPr id="10249" name="Check Box 9" hidden="1">
              <a:extLst>
                <a:ext uri="{63B3BB69-23CF-44E3-9099-C40C66FF867C}">
                  <a14:compatExt spid="_x0000_s10249"/>
                </a:ext>
                <a:ext uri="{FF2B5EF4-FFF2-40B4-BE49-F238E27FC236}">
                  <a16:creationId xmlns:a16="http://schemas.microsoft.com/office/drawing/2014/main" xmlns="" id="{00000000-0008-0000-0200-00000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381000</xdr:colOff>
          <xdr:row>5</xdr:row>
          <xdr:rowOff>47625</xdr:rowOff>
        </xdr:from>
        <xdr:to>
          <xdr:col>3</xdr:col>
          <xdr:colOff>704850</xdr:colOff>
          <xdr:row>7</xdr:row>
          <xdr:rowOff>19050</xdr:rowOff>
        </xdr:to>
        <xdr:sp macro="" textlink="">
          <xdr:nvSpPr>
            <xdr:cNvPr id="10250" name="Check Box 10" hidden="1">
              <a:extLst>
                <a:ext uri="{63B3BB69-23CF-44E3-9099-C40C66FF867C}">
                  <a14:compatExt spid="_x0000_s10250"/>
                </a:ext>
                <a:ext uri="{FF2B5EF4-FFF2-40B4-BE49-F238E27FC236}">
                  <a16:creationId xmlns:a16="http://schemas.microsoft.com/office/drawing/2014/main" xmlns="" id="{00000000-0008-0000-0200-00000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76198</xdr:colOff>
      <xdr:row>72</xdr:row>
      <xdr:rowOff>66675</xdr:rowOff>
    </xdr:from>
    <xdr:to>
      <xdr:col>12</xdr:col>
      <xdr:colOff>85724</xdr:colOff>
      <xdr:row>76</xdr:row>
      <xdr:rowOff>21851</xdr:rowOff>
    </xdr:to>
    <xdr:pic>
      <xdr:nvPicPr>
        <xdr:cNvPr id="7" name="Рисунок 6">
          <a:extLst>
            <a:ext uri="{FF2B5EF4-FFF2-40B4-BE49-F238E27FC236}">
              <a16:creationId xmlns:a16="http://schemas.microsoft.com/office/drawing/2014/main" xmlns="" id="{00000000-0008-0000-0200-000007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76198" y="23069550"/>
          <a:ext cx="12852401" cy="717176"/>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xdr:col>
          <xdr:colOff>2686050</xdr:colOff>
          <xdr:row>5</xdr:row>
          <xdr:rowOff>47625</xdr:rowOff>
        </xdr:from>
        <xdr:to>
          <xdr:col>2</xdr:col>
          <xdr:colOff>2895600</xdr:colOff>
          <xdr:row>7</xdr:row>
          <xdr:rowOff>19050</xdr:rowOff>
        </xdr:to>
        <xdr:sp macro="" textlink="">
          <xdr:nvSpPr>
            <xdr:cNvPr id="10251" name="Check Box 11" hidden="1">
              <a:extLst>
                <a:ext uri="{63B3BB69-23CF-44E3-9099-C40C66FF867C}">
                  <a14:compatExt spid="_x0000_s10251"/>
                </a:ext>
                <a:ext uri="{FF2B5EF4-FFF2-40B4-BE49-F238E27FC236}">
                  <a16:creationId xmlns:a16="http://schemas.microsoft.com/office/drawing/2014/main" xmlns="" id="{00000000-0008-0000-0200-00000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71429</xdr:colOff>
      <xdr:row>59</xdr:row>
      <xdr:rowOff>85726</xdr:rowOff>
    </xdr:from>
    <xdr:to>
      <xdr:col>12</xdr:col>
      <xdr:colOff>71445</xdr:colOff>
      <xdr:row>67</xdr:row>
      <xdr:rowOff>78442</xdr:rowOff>
    </xdr:to>
    <xdr:pic>
      <xdr:nvPicPr>
        <xdr:cNvPr id="8" name="Рисунок 7">
          <a:extLst>
            <a:ext uri="{FF2B5EF4-FFF2-40B4-BE49-F238E27FC236}">
              <a16:creationId xmlns:a16="http://schemas.microsoft.com/office/drawing/2014/main" xmlns="" id="{00000000-0008-0000-0200-00000800000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xdr:blipFill>
      <xdr:spPr>
        <a:xfrm>
          <a:off x="71429" y="20621626"/>
          <a:ext cx="12906391" cy="151671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194179</xdr:colOff>
      <xdr:row>12</xdr:row>
      <xdr:rowOff>9525</xdr:rowOff>
    </xdr:from>
    <xdr:to>
      <xdr:col>1</xdr:col>
      <xdr:colOff>194179</xdr:colOff>
      <xdr:row>14</xdr:row>
      <xdr:rowOff>0</xdr:rowOff>
    </xdr:to>
    <xdr:cxnSp macro="">
      <xdr:nvCxnSpPr>
        <xdr:cNvPr id="23" name="Прямая соединительная линия 22">
          <a:extLst>
            <a:ext uri="{FF2B5EF4-FFF2-40B4-BE49-F238E27FC236}">
              <a16:creationId xmlns:a16="http://schemas.microsoft.com/office/drawing/2014/main" xmlns="" id="{00000000-0008-0000-0300-000017000000}"/>
            </a:ext>
          </a:extLst>
        </xdr:cNvPr>
        <xdr:cNvCxnSpPr/>
      </xdr:nvCxnSpPr>
      <xdr:spPr>
        <a:xfrm>
          <a:off x="377059" y="3308985"/>
          <a:ext cx="0" cy="2346960"/>
        </a:xfrm>
        <a:prstGeom prst="line">
          <a:avLst/>
        </a:prstGeom>
        <a:ln w="19050">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45720</xdr:colOff>
      <xdr:row>26</xdr:row>
      <xdr:rowOff>115404</xdr:rowOff>
    </xdr:from>
    <xdr:to>
      <xdr:col>3</xdr:col>
      <xdr:colOff>11205</xdr:colOff>
      <xdr:row>36</xdr:row>
      <xdr:rowOff>487680</xdr:rowOff>
    </xdr:to>
    <xdr:sp macro="" textlink="">
      <xdr:nvSpPr>
        <xdr:cNvPr id="2" name="TextBox 1">
          <a:extLst>
            <a:ext uri="{FF2B5EF4-FFF2-40B4-BE49-F238E27FC236}">
              <a16:creationId xmlns:a16="http://schemas.microsoft.com/office/drawing/2014/main" xmlns="" id="{00000000-0008-0000-0300-000002000000}"/>
            </a:ext>
          </a:extLst>
        </xdr:cNvPr>
        <xdr:cNvSpPr txBox="1"/>
      </xdr:nvSpPr>
      <xdr:spPr>
        <a:xfrm>
          <a:off x="45720" y="10006164"/>
          <a:ext cx="6709185" cy="55538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n-US" sz="1100" b="1" i="0" u="none" strike="noStrike" baseline="0">
              <a:solidFill>
                <a:schemeClr val="dk1"/>
              </a:solidFill>
              <a:latin typeface="+mn-lt"/>
              <a:ea typeface="+mn-ea"/>
              <a:cs typeface="Arial" panose="020B0604020202020204" pitchFamily="34" charset="0"/>
            </a:rPr>
            <a:t>Dallas Lock Linux. </a:t>
          </a:r>
          <a:r>
            <a:rPr lang="ru-RU" sz="1100" b="1" i="0" u="none" strike="noStrike" baseline="0">
              <a:solidFill>
                <a:schemeClr val="dk1"/>
              </a:solidFill>
              <a:latin typeface="+mn-lt"/>
              <a:ea typeface="+mn-ea"/>
              <a:cs typeface="Arial" panose="020B0604020202020204" pitchFamily="34" charset="0"/>
            </a:rPr>
            <a:t>Право на использование </a:t>
          </a:r>
        </a:p>
        <a:p>
          <a:pPr algn="l"/>
          <a:r>
            <a:rPr lang="ru-RU" sz="1100" b="0" i="0" u="none" strike="noStrike" baseline="0">
              <a:solidFill>
                <a:schemeClr val="dk1"/>
              </a:solidFill>
              <a:latin typeface="+mn-lt"/>
              <a:ea typeface="+mn-ea"/>
              <a:cs typeface="Arial" panose="020B0604020202020204" pitchFamily="34" charset="0"/>
            </a:rPr>
            <a:t>• В стоимость лицензии на СЗИ </a:t>
          </a:r>
          <a:r>
            <a:rPr lang="en-US" sz="1100" b="0" i="0" u="none" strike="noStrike" baseline="0">
              <a:solidFill>
                <a:schemeClr val="dk1"/>
              </a:solidFill>
              <a:latin typeface="+mn-lt"/>
              <a:ea typeface="+mn-ea"/>
              <a:cs typeface="Arial" panose="020B0604020202020204" pitchFamily="34" charset="0"/>
            </a:rPr>
            <a:t>Dallas Lock Linux</a:t>
          </a:r>
          <a:r>
            <a:rPr lang="ru-RU" sz="1100" b="0" i="0" u="none" strike="noStrike" baseline="0">
              <a:solidFill>
                <a:schemeClr val="dk1"/>
              </a:solidFill>
              <a:latin typeface="+mn-lt"/>
              <a:ea typeface="+mn-ea"/>
              <a:cs typeface="Arial" panose="020B0604020202020204" pitchFamily="34" charset="0"/>
            </a:rPr>
            <a:t> (НСД, СКН) или СЗИ </a:t>
          </a:r>
          <a:r>
            <a:rPr lang="en-US" sz="1100" b="0" i="0" u="none" strike="noStrike" baseline="0">
              <a:solidFill>
                <a:schemeClr val="dk1"/>
              </a:solidFill>
              <a:latin typeface="+mn-lt"/>
              <a:ea typeface="+mn-ea"/>
              <a:cs typeface="Arial" panose="020B0604020202020204" pitchFamily="34" charset="0"/>
            </a:rPr>
            <a:t>Dallas Lock Linux (</a:t>
          </a:r>
          <a:r>
            <a:rPr lang="ru-RU" sz="1100" b="0" i="0" u="none" strike="noStrike" baseline="0">
              <a:solidFill>
                <a:schemeClr val="dk1"/>
              </a:solidFill>
              <a:latin typeface="+mn-lt"/>
              <a:ea typeface="+mn-ea"/>
              <a:cs typeface="Arial" panose="020B0604020202020204" pitchFamily="34" charset="0"/>
            </a:rPr>
            <a:t>НСД, СКН, МЭ) </a:t>
          </a:r>
          <a:r>
            <a:rPr lang="en-US" sz="1100" b="0" i="0" u="none" strike="noStrike" baseline="0">
              <a:solidFill>
                <a:schemeClr val="dk1"/>
              </a:solidFill>
              <a:latin typeface="+mn-lt"/>
              <a:ea typeface="+mn-ea"/>
              <a:cs typeface="Arial" panose="020B0604020202020204" pitchFamily="34" charset="0"/>
            </a:rPr>
            <a:t> </a:t>
          </a:r>
          <a:r>
            <a:rPr lang="ru-RU" sz="1100" b="0" i="0" u="none" strike="noStrike" baseline="0">
              <a:solidFill>
                <a:schemeClr val="dk1"/>
              </a:solidFill>
              <a:latin typeface="+mn-lt"/>
              <a:ea typeface="+mn-ea"/>
              <a:cs typeface="Arial" panose="020B0604020202020204" pitchFamily="34" charset="0"/>
            </a:rPr>
            <a:t>включены графическая пользовательская консоль (</a:t>
          </a:r>
          <a:r>
            <a:rPr lang="en-US" sz="1100" b="0" i="0" u="none" strike="noStrike" baseline="0">
              <a:solidFill>
                <a:schemeClr val="dk1"/>
              </a:solidFill>
              <a:latin typeface="+mn-lt"/>
              <a:ea typeface="+mn-ea"/>
              <a:cs typeface="Arial" panose="020B0604020202020204" pitchFamily="34" charset="0"/>
            </a:rPr>
            <a:t>GUI) </a:t>
          </a:r>
          <a:r>
            <a:rPr lang="ru-RU" sz="1100" b="0" i="0" u="none" strike="noStrike" baseline="0">
              <a:solidFill>
                <a:schemeClr val="dk1"/>
              </a:solidFill>
              <a:latin typeface="+mn-lt"/>
              <a:ea typeface="+mn-ea"/>
              <a:cs typeface="Arial" panose="020B0604020202020204" pitchFamily="34" charset="0"/>
            </a:rPr>
            <a:t>для управления СЗИ, а также консоль удаленного управления СЗИ из ОС </a:t>
          </a:r>
          <a:r>
            <a:rPr lang="en-US" sz="1100" b="0" i="0" u="none" strike="noStrike" baseline="0">
              <a:solidFill>
                <a:schemeClr val="dk1"/>
              </a:solidFill>
              <a:latin typeface="+mn-lt"/>
              <a:ea typeface="+mn-ea"/>
              <a:cs typeface="Arial" panose="020B0604020202020204" pitchFamily="34" charset="0"/>
            </a:rPr>
            <a:t>Linux </a:t>
          </a:r>
          <a:r>
            <a:rPr lang="ru-RU" sz="1100" b="0" i="0" u="none" strike="noStrike" baseline="0">
              <a:solidFill>
                <a:schemeClr val="dk1"/>
              </a:solidFill>
              <a:latin typeface="+mn-lt"/>
              <a:ea typeface="+mn-ea"/>
              <a:cs typeface="Arial" panose="020B0604020202020204" pitchFamily="34" charset="0"/>
            </a:rPr>
            <a:t>и </a:t>
          </a:r>
          <a:r>
            <a:rPr lang="en-US" sz="1100" b="0" i="0" u="none" strike="noStrike" baseline="0">
              <a:solidFill>
                <a:schemeClr val="dk1"/>
              </a:solidFill>
              <a:latin typeface="+mn-lt"/>
              <a:ea typeface="+mn-ea"/>
              <a:cs typeface="Arial" panose="020B0604020202020204" pitchFamily="34" charset="0"/>
            </a:rPr>
            <a:t>Windows.</a:t>
          </a:r>
        </a:p>
        <a:p>
          <a:pPr algn="l"/>
          <a:r>
            <a:rPr lang="en-US" sz="1100" b="0" i="0" u="none" strike="noStrike" baseline="0">
              <a:solidFill>
                <a:schemeClr val="dk1"/>
              </a:solidFill>
              <a:latin typeface="+mn-lt"/>
              <a:ea typeface="+mn-ea"/>
              <a:cs typeface="Arial" panose="020B0604020202020204" pitchFamily="34" charset="0"/>
            </a:rPr>
            <a:t>• </a:t>
          </a:r>
          <a:r>
            <a:rPr lang="ru-RU" sz="1100" b="0" i="0" u="none" strike="noStrike" baseline="0">
              <a:solidFill>
                <a:schemeClr val="dk1"/>
              </a:solidFill>
              <a:latin typeface="+mn-lt"/>
              <a:ea typeface="+mn-ea"/>
              <a:cs typeface="Arial" panose="020B0604020202020204" pitchFamily="34" charset="0"/>
            </a:rPr>
            <a:t>Сертифицированный комплект для установки СЗИ </a:t>
          </a:r>
          <a:r>
            <a:rPr lang="en-US" sz="1100" b="0" i="0" u="none" strike="noStrike" baseline="0">
              <a:solidFill>
                <a:schemeClr val="dk1"/>
              </a:solidFill>
              <a:latin typeface="+mn-lt"/>
              <a:ea typeface="+mn-ea"/>
              <a:cs typeface="Arial" panose="020B0604020202020204" pitchFamily="34" charset="0"/>
            </a:rPr>
            <a:t>Dallas Lock Linux </a:t>
          </a:r>
          <a:r>
            <a:rPr lang="ru-RU" sz="1100" b="0" i="0" u="none" strike="noStrike" baseline="0">
              <a:solidFill>
                <a:schemeClr val="dk1"/>
              </a:solidFill>
              <a:latin typeface="+mn-lt"/>
              <a:ea typeface="+mn-ea"/>
              <a:cs typeface="Arial" panose="020B0604020202020204" pitchFamily="34" charset="0"/>
            </a:rPr>
            <a:t>на необходимое количество рабочих мест приобретается отдельно.</a:t>
          </a:r>
          <a:endParaRPr lang="en-US" sz="1100" b="0" i="0" u="none" strike="noStrike" baseline="0">
            <a:solidFill>
              <a:schemeClr val="dk1"/>
            </a:solidFill>
            <a:latin typeface="+mn-lt"/>
            <a:ea typeface="+mn-ea"/>
            <a:cs typeface="Arial" panose="020B0604020202020204" pitchFamily="34" charset="0"/>
          </a:endParaRPr>
        </a:p>
        <a:p>
          <a:pPr algn="just"/>
          <a:endParaRPr lang="en-US" sz="1100" b="0" i="0" u="none" strike="noStrike" baseline="0">
            <a:solidFill>
              <a:srgbClr val="FF0000"/>
            </a:solidFill>
            <a:latin typeface="+mn-lt"/>
            <a:ea typeface="+mn-ea"/>
            <a:cs typeface="Arial" panose="020B0604020202020204" pitchFamily="34" charset="0"/>
          </a:endParaRPr>
        </a:p>
        <a:p>
          <a:pPr algn="just"/>
          <a:r>
            <a:rPr lang="ru-RU" sz="1100" b="1" i="0" u="none" strike="noStrike" baseline="0">
              <a:solidFill>
                <a:sysClr val="windowText" lastClr="000000"/>
              </a:solidFill>
              <a:latin typeface="+mn-lt"/>
              <a:ea typeface="+mn-ea"/>
              <a:cs typeface="Arial" panose="020B0604020202020204" pitchFamily="34" charset="0"/>
            </a:rPr>
            <a:t>При заказе двух и более позиций </a:t>
          </a:r>
          <a:r>
            <a:rPr lang="en-US" sz="1100" b="0" i="0" baseline="0">
              <a:solidFill>
                <a:schemeClr val="dk1"/>
              </a:solidFill>
              <a:effectLst/>
              <a:latin typeface="+mn-lt"/>
              <a:ea typeface="+mn-ea"/>
              <a:cs typeface="+mn-cs"/>
            </a:rPr>
            <a:t>Dallas Lock Linux</a:t>
          </a:r>
          <a:r>
            <a:rPr lang="ru-RU" sz="1100" b="0" i="0" baseline="0">
              <a:solidFill>
                <a:schemeClr val="dk1"/>
              </a:solidFill>
              <a:effectLst/>
              <a:latin typeface="+mn-lt"/>
              <a:ea typeface="+mn-ea"/>
              <a:cs typeface="+mn-cs"/>
            </a:rPr>
            <a:t> (НСД</a:t>
          </a:r>
          <a:r>
            <a:rPr lang="en-US" sz="1100" b="0" i="0" baseline="0">
              <a:solidFill>
                <a:schemeClr val="dk1"/>
              </a:solidFill>
              <a:effectLst/>
              <a:latin typeface="+mn-lt"/>
              <a:ea typeface="+mn-ea"/>
              <a:cs typeface="+mn-cs"/>
            </a:rPr>
            <a:t>, </a:t>
          </a:r>
          <a:r>
            <a:rPr lang="ru-RU" sz="1100" b="0" i="0" baseline="0">
              <a:solidFill>
                <a:schemeClr val="dk1"/>
              </a:solidFill>
              <a:effectLst/>
              <a:latin typeface="+mn-lt"/>
              <a:ea typeface="+mn-ea"/>
              <a:cs typeface="+mn-cs"/>
            </a:rPr>
            <a:t>СКН) и Модуль «Система обнаружения вторжений» или </a:t>
          </a:r>
          <a:r>
            <a:rPr lang="en-US" sz="1100" b="0" i="0" baseline="0">
              <a:solidFill>
                <a:schemeClr val="dk1"/>
              </a:solidFill>
              <a:effectLst/>
              <a:latin typeface="+mn-lt"/>
              <a:ea typeface="+mn-ea"/>
              <a:cs typeface="+mn-cs"/>
            </a:rPr>
            <a:t>Dallas Lock Linux</a:t>
          </a:r>
          <a:r>
            <a:rPr lang="ru-RU" sz="1100" b="0" i="0" baseline="0">
              <a:solidFill>
                <a:schemeClr val="dk1"/>
              </a:solidFill>
              <a:effectLst/>
              <a:latin typeface="+mn-lt"/>
              <a:ea typeface="+mn-ea"/>
              <a:cs typeface="+mn-cs"/>
            </a:rPr>
            <a:t> (НСД</a:t>
          </a:r>
          <a:r>
            <a:rPr lang="en-US" sz="1100" b="0" i="0" baseline="0">
              <a:solidFill>
                <a:schemeClr val="dk1"/>
              </a:solidFill>
              <a:effectLst/>
              <a:latin typeface="+mn-lt"/>
              <a:ea typeface="+mn-ea"/>
              <a:cs typeface="+mn-cs"/>
            </a:rPr>
            <a:t>, </a:t>
          </a:r>
          <a:r>
            <a:rPr lang="ru-RU" sz="1100" b="0" i="0" baseline="0">
              <a:solidFill>
                <a:schemeClr val="dk1"/>
              </a:solidFill>
              <a:effectLst/>
              <a:latin typeface="+mn-lt"/>
              <a:ea typeface="+mn-ea"/>
              <a:cs typeface="+mn-cs"/>
            </a:rPr>
            <a:t>СКН)</a:t>
          </a:r>
          <a:r>
            <a:rPr lang="en-US" sz="1100" b="0" i="0" baseline="0">
              <a:solidFill>
                <a:schemeClr val="dk1"/>
              </a:solidFill>
              <a:effectLst/>
              <a:latin typeface="+mn-lt"/>
              <a:ea typeface="+mn-ea"/>
              <a:cs typeface="+mn-cs"/>
            </a:rPr>
            <a:t>, </a:t>
          </a:r>
          <a:r>
            <a:rPr lang="ru-RU" sz="1100" b="0" i="0" baseline="0">
              <a:solidFill>
                <a:schemeClr val="dk1"/>
              </a:solidFill>
              <a:effectLst/>
              <a:latin typeface="+mn-lt"/>
              <a:ea typeface="+mn-ea"/>
              <a:cs typeface="+mn-cs"/>
            </a:rPr>
            <a:t>модуль «Система обнаружения вторжений»</a:t>
          </a:r>
          <a:r>
            <a:rPr lang="en-US" sz="1100" b="0" i="0" baseline="0">
              <a:solidFill>
                <a:schemeClr val="dk1"/>
              </a:solidFill>
              <a:effectLst/>
              <a:latin typeface="+mn-lt"/>
              <a:ea typeface="+mn-ea"/>
              <a:cs typeface="+mn-cs"/>
            </a:rPr>
            <a:t> </a:t>
          </a:r>
          <a:r>
            <a:rPr lang="ru-RU" sz="1100" b="0" i="0" baseline="0">
              <a:solidFill>
                <a:schemeClr val="dk1"/>
              </a:solidFill>
              <a:effectLst/>
              <a:latin typeface="+mn-lt"/>
              <a:ea typeface="+mn-ea"/>
              <a:cs typeface="+mn-cs"/>
            </a:rPr>
            <a:t>и модуль «Межсетевой экран» для Универсальной бессрочной лицении и для Бессрочной лицензии </a:t>
          </a:r>
          <a:r>
            <a:rPr lang="ru-RU" sz="1100" b="1" i="0" baseline="0">
              <a:solidFill>
                <a:schemeClr val="dk1"/>
              </a:solidFill>
              <a:effectLst/>
              <a:latin typeface="+mn-lt"/>
              <a:ea typeface="+mn-ea"/>
              <a:cs typeface="+mn-cs"/>
            </a:rPr>
            <a:t>предоставляется дополнительная скидка</a:t>
          </a:r>
          <a:r>
            <a:rPr lang="ru-RU" sz="1100" b="0" i="0" baseline="0">
              <a:solidFill>
                <a:schemeClr val="dk1"/>
              </a:solidFill>
              <a:effectLst/>
              <a:latin typeface="+mn-lt"/>
              <a:ea typeface="+mn-ea"/>
              <a:cs typeface="+mn-cs"/>
            </a:rPr>
            <a:t>. С ней можно ознакомиться в калькуляторе на сайте.</a:t>
          </a:r>
        </a:p>
        <a:p>
          <a:pPr algn="just"/>
          <a:endParaRPr lang="en-US" sz="1100" b="1" i="0" u="none" strike="noStrike" baseline="0">
            <a:solidFill>
              <a:srgbClr val="FF0000"/>
            </a:solidFill>
            <a:latin typeface="+mn-lt"/>
            <a:ea typeface="+mn-ea"/>
            <a:cs typeface="Arial" panose="020B0604020202020204" pitchFamily="34" charset="0"/>
          </a:endParaRPr>
        </a:p>
        <a:p>
          <a:pPr algn="just"/>
          <a:r>
            <a:rPr lang="en-US" sz="1100" b="1" i="0" u="none" strike="noStrike" baseline="0">
              <a:solidFill>
                <a:sysClr val="windowText" lastClr="000000"/>
              </a:solidFill>
              <a:latin typeface="+mn-lt"/>
              <a:ea typeface="+mn-ea"/>
              <a:cs typeface="Arial" panose="020B0604020202020204" pitchFamily="34" charset="0"/>
            </a:rPr>
            <a:t>Dallas Lock Linux/Dallas Lock 8.0-K. </a:t>
          </a:r>
          <a:r>
            <a:rPr lang="ru-RU" sz="1100" b="1" i="0" u="none" strike="noStrike" baseline="0">
              <a:solidFill>
                <a:sysClr val="windowText" lastClr="000000"/>
              </a:solidFill>
              <a:latin typeface="+mn-lt"/>
              <a:ea typeface="+mn-ea"/>
              <a:cs typeface="Arial" panose="020B0604020202020204" pitchFamily="34" charset="0"/>
            </a:rPr>
            <a:t>Право на использование (универсальная лицензия) </a:t>
          </a:r>
        </a:p>
        <a:p>
          <a:pPr eaLnBrk="1" fontAlgn="auto" latinLnBrk="0" hangingPunct="1"/>
          <a:r>
            <a:rPr lang="ru-RU" sz="1100" b="0" i="0" baseline="0">
              <a:solidFill>
                <a:schemeClr val="dk1"/>
              </a:solidFill>
              <a:effectLst/>
              <a:latin typeface="+mn-lt"/>
              <a:ea typeface="+mn-ea"/>
              <a:cs typeface="+mn-cs"/>
            </a:rPr>
            <a:t>Право на использование </a:t>
          </a:r>
          <a:r>
            <a:rPr lang="en-US" sz="1100" b="0" i="0" baseline="0">
              <a:solidFill>
                <a:schemeClr val="dk1"/>
              </a:solidFill>
              <a:effectLst/>
              <a:latin typeface="+mn-lt"/>
              <a:ea typeface="+mn-ea"/>
              <a:cs typeface="+mn-cs"/>
            </a:rPr>
            <a:t>Dallas Lock 8.0-K (</a:t>
          </a:r>
          <a:r>
            <a:rPr lang="ru-RU" sz="1100" b="0" i="0" baseline="0">
              <a:solidFill>
                <a:schemeClr val="dk1"/>
              </a:solidFill>
              <a:effectLst/>
              <a:latin typeface="+mn-lt"/>
              <a:ea typeface="+mn-ea"/>
              <a:cs typeface="+mn-cs"/>
            </a:rPr>
            <a:t>СЗИ НСД, СКН)/</a:t>
          </a:r>
          <a:r>
            <a:rPr lang="en-US" sz="1100" b="0" i="0" baseline="0">
              <a:solidFill>
                <a:schemeClr val="dk1"/>
              </a:solidFill>
              <a:effectLst/>
              <a:latin typeface="+mn-lt"/>
              <a:ea typeface="+mn-ea"/>
              <a:cs typeface="+mn-cs"/>
            </a:rPr>
            <a:t>Dallas Lock 8.0-K (</a:t>
          </a:r>
          <a:r>
            <a:rPr lang="ru-RU" sz="1100" b="0" i="0" baseline="0">
              <a:solidFill>
                <a:schemeClr val="dk1"/>
              </a:solidFill>
              <a:effectLst/>
              <a:latin typeface="+mn-lt"/>
              <a:ea typeface="+mn-ea"/>
              <a:cs typeface="+mn-cs"/>
            </a:rPr>
            <a:t>СЗИ НСД, СКН, МЭ)/</a:t>
          </a:r>
          <a:r>
            <a:rPr lang="en-US" sz="1100" b="0" i="0" baseline="0">
              <a:solidFill>
                <a:schemeClr val="dk1"/>
              </a:solidFill>
              <a:effectLst/>
              <a:latin typeface="+mn-lt"/>
              <a:ea typeface="+mn-ea"/>
              <a:cs typeface="+mn-cs"/>
            </a:rPr>
            <a:t>Dallas Lock </a:t>
          </a:r>
          <a:r>
            <a:rPr lang="ru-RU" sz="1100" b="0" i="0" baseline="0">
              <a:solidFill>
                <a:schemeClr val="dk1"/>
              </a:solidFill>
              <a:effectLst/>
              <a:latin typeface="+mn-lt"/>
              <a:ea typeface="+mn-ea"/>
              <a:cs typeface="+mn-cs"/>
            </a:rPr>
            <a:t>8.0-К (СЗИ НСД, СКН, МЭ, СОВ) или </a:t>
          </a:r>
          <a:r>
            <a:rPr lang="en-US" sz="1100" b="0" i="0" baseline="0">
              <a:solidFill>
                <a:schemeClr val="dk1"/>
              </a:solidFill>
              <a:effectLst/>
              <a:latin typeface="+mn-lt"/>
              <a:ea typeface="+mn-ea"/>
              <a:cs typeface="+mn-cs"/>
            </a:rPr>
            <a:t>Dallas Lock Linux (</a:t>
          </a:r>
          <a:r>
            <a:rPr lang="ru-RU" sz="1100" b="0" i="0" baseline="0">
              <a:solidFill>
                <a:schemeClr val="dk1"/>
              </a:solidFill>
              <a:effectLst/>
              <a:latin typeface="+mn-lt"/>
              <a:ea typeface="+mn-ea"/>
              <a:cs typeface="+mn-cs"/>
            </a:rPr>
            <a:t>СЗИ НСД, СКН, МЭ)/</a:t>
          </a:r>
          <a:r>
            <a:rPr lang="en-US" sz="1100" b="0" i="0" baseline="0">
              <a:solidFill>
                <a:schemeClr val="dk1"/>
              </a:solidFill>
              <a:effectLst/>
              <a:latin typeface="+mn-lt"/>
              <a:ea typeface="+mn-ea"/>
              <a:cs typeface="+mn-cs"/>
            </a:rPr>
            <a:t>Dallas Lock Linux (</a:t>
          </a:r>
          <a:r>
            <a:rPr lang="ru-RU" sz="1100" b="0" i="0" baseline="0">
              <a:solidFill>
                <a:schemeClr val="dk1"/>
              </a:solidFill>
              <a:effectLst/>
              <a:latin typeface="+mn-lt"/>
              <a:ea typeface="+mn-ea"/>
              <a:cs typeface="+mn-cs"/>
            </a:rPr>
            <a:t>СЗИ НСД, СКН, МЭ)/</a:t>
          </a:r>
          <a:r>
            <a:rPr lang="en-US" sz="1100" b="0" i="0" baseline="0">
              <a:solidFill>
                <a:schemeClr val="dk1"/>
              </a:solidFill>
              <a:effectLst/>
              <a:latin typeface="+mn-lt"/>
              <a:ea typeface="+mn-ea"/>
              <a:cs typeface="+mn-cs"/>
            </a:rPr>
            <a:t>Dallas Lock Linux</a:t>
          </a:r>
          <a:r>
            <a:rPr lang="ru-RU" sz="1100" b="0" i="0" baseline="0">
              <a:solidFill>
                <a:schemeClr val="dk1"/>
              </a:solidFill>
              <a:effectLst/>
              <a:latin typeface="+mn-lt"/>
              <a:ea typeface="+mn-ea"/>
              <a:cs typeface="+mn-cs"/>
            </a:rPr>
            <a:t> (СЗИ НСД, СКН, МЭ, СОВ**) – по усмотрению пользователя. Рекомендуется использовать для рабочих мест, которые планируется перевести с одной ОС на другую в период эксплуатации СЗИ </a:t>
          </a:r>
          <a:r>
            <a:rPr lang="en-US" sz="1100" b="0" i="0" baseline="0">
              <a:solidFill>
                <a:schemeClr val="dk1"/>
              </a:solidFill>
              <a:effectLst/>
              <a:latin typeface="+mn-lt"/>
              <a:ea typeface="+mn-ea"/>
              <a:cs typeface="+mn-cs"/>
            </a:rPr>
            <a:t>Dallas Lock. C</a:t>
          </a:r>
          <a:r>
            <a:rPr lang="ru-RU" sz="1100" b="0" i="0" baseline="0">
              <a:solidFill>
                <a:schemeClr val="dk1"/>
              </a:solidFill>
              <a:effectLst/>
              <a:latin typeface="+mn-lt"/>
              <a:ea typeface="+mn-ea"/>
              <a:cs typeface="+mn-cs"/>
            </a:rPr>
            <a:t>ертифицированные комплекты для установки </a:t>
          </a:r>
          <a:r>
            <a:rPr lang="en-US" sz="1100" b="0" i="0" baseline="0">
              <a:solidFill>
                <a:schemeClr val="dk1"/>
              </a:solidFill>
              <a:effectLst/>
              <a:latin typeface="+mn-lt"/>
              <a:ea typeface="+mn-ea"/>
              <a:cs typeface="+mn-cs"/>
            </a:rPr>
            <a:t>Dallas Lock Linux (DLLNX.CERT.FSTEC) </a:t>
          </a:r>
          <a:r>
            <a:rPr lang="ru-RU" sz="1100" b="0" i="0" baseline="0">
              <a:solidFill>
                <a:schemeClr val="dk1"/>
              </a:solidFill>
              <a:effectLst/>
              <a:latin typeface="+mn-lt"/>
              <a:ea typeface="+mn-ea"/>
              <a:cs typeface="+mn-cs"/>
            </a:rPr>
            <a:t>и </a:t>
          </a:r>
          <a:r>
            <a:rPr lang="en-US" sz="1100" b="0" i="0" baseline="0">
              <a:solidFill>
                <a:schemeClr val="dk1"/>
              </a:solidFill>
              <a:effectLst/>
              <a:latin typeface="+mn-lt"/>
              <a:ea typeface="+mn-ea"/>
              <a:cs typeface="+mn-cs"/>
            </a:rPr>
            <a:t>Dallas Lock 8.0-K</a:t>
          </a:r>
          <a:r>
            <a:rPr lang="ru-RU" sz="1100" b="0" i="0" baseline="0">
              <a:solidFill>
                <a:schemeClr val="dk1"/>
              </a:solidFill>
              <a:effectLst/>
              <a:latin typeface="+mn-lt"/>
              <a:ea typeface="+mn-ea"/>
              <a:cs typeface="+mn-cs"/>
            </a:rPr>
            <a:t> (</a:t>
          </a:r>
          <a:r>
            <a:rPr lang="en-US" sz="1100" b="0" i="0" baseline="0">
              <a:solidFill>
                <a:schemeClr val="dk1"/>
              </a:solidFill>
              <a:effectLst/>
              <a:latin typeface="+mn-lt"/>
              <a:ea typeface="+mn-ea"/>
              <a:cs typeface="+mn-cs"/>
            </a:rPr>
            <a:t>DL80K.CERT.FSTEC</a:t>
          </a:r>
          <a:r>
            <a:rPr lang="ru-RU" sz="1100" b="0" i="0" baseline="0">
              <a:solidFill>
                <a:schemeClr val="dk1"/>
              </a:solidFill>
              <a:effectLst/>
              <a:latin typeface="+mn-lt"/>
              <a:ea typeface="+mn-ea"/>
              <a:cs typeface="+mn-cs"/>
            </a:rPr>
            <a:t>) приобретаются отдельно</a:t>
          </a:r>
          <a:r>
            <a:rPr lang="en-US" sz="1100" b="0" i="0" baseline="0">
              <a:solidFill>
                <a:schemeClr val="dk1"/>
              </a:solidFill>
              <a:effectLst/>
              <a:latin typeface="+mn-lt"/>
              <a:ea typeface="+mn-ea"/>
              <a:cs typeface="+mn-cs"/>
            </a:rPr>
            <a:t>.</a:t>
          </a:r>
          <a:endParaRPr lang="ru-RU">
            <a:effectLst/>
          </a:endParaRPr>
        </a:p>
        <a:p>
          <a:pPr algn="just"/>
          <a:endParaRPr lang="ru-RU" sz="1100" b="0" i="0" u="none" strike="noStrike" baseline="0">
            <a:solidFill>
              <a:schemeClr val="dk1"/>
            </a:solidFill>
            <a:latin typeface="+mn-lt"/>
            <a:ea typeface="+mn-ea"/>
            <a:cs typeface="Arial" panose="020B0604020202020204" pitchFamily="34" charset="0"/>
          </a:endParaRPr>
        </a:p>
        <a:p>
          <a:pPr eaLnBrk="1" fontAlgn="auto" latinLnBrk="0" hangingPunct="1"/>
          <a:r>
            <a:rPr lang="ru-RU" sz="1100" b="1">
              <a:solidFill>
                <a:schemeClr val="dk1"/>
              </a:solidFill>
              <a:effectLst/>
              <a:latin typeface="+mn-lt"/>
              <a:ea typeface="+mn-ea"/>
              <a:cs typeface="+mn-cs"/>
            </a:rPr>
            <a:t>Dallas Lock Linux</a:t>
          </a:r>
          <a:r>
            <a:rPr lang="ru-RU" sz="1100" b="1" i="0" baseline="0">
              <a:solidFill>
                <a:schemeClr val="dk1"/>
              </a:solidFill>
              <a:effectLst/>
              <a:latin typeface="+mn-lt"/>
              <a:ea typeface="+mn-ea"/>
              <a:cs typeface="+mn-cs"/>
            </a:rPr>
            <a:t>. Электронная дистрибуция</a:t>
          </a:r>
          <a:endParaRPr lang="ru-RU">
            <a:effectLst/>
          </a:endParaRPr>
        </a:p>
        <a:p>
          <a:r>
            <a:rPr lang="ru-RU" sz="1100" b="0" i="0">
              <a:solidFill>
                <a:schemeClr val="dk1"/>
              </a:solidFill>
              <a:effectLst/>
              <a:latin typeface="+mn-lt"/>
              <a:ea typeface="+mn-ea"/>
              <a:cs typeface="+mn-cs"/>
            </a:rPr>
            <a:t>С 1 сентября 2025 года стартовала</a:t>
          </a:r>
          <a:r>
            <a:rPr lang="ru-RU" sz="1100" b="0" i="0" baseline="0">
              <a:solidFill>
                <a:schemeClr val="dk1"/>
              </a:solidFill>
              <a:effectLst/>
              <a:latin typeface="+mn-lt"/>
              <a:ea typeface="+mn-ea"/>
              <a:cs typeface="+mn-cs"/>
            </a:rPr>
            <a:t> </a:t>
          </a:r>
          <a:r>
            <a:rPr lang="ru-RU" sz="1100" b="0" i="0">
              <a:solidFill>
                <a:schemeClr val="dk1"/>
              </a:solidFill>
              <a:effectLst/>
              <a:latin typeface="+mn-lt"/>
              <a:ea typeface="+mn-ea"/>
              <a:cs typeface="+mn-cs"/>
            </a:rPr>
            <a:t>электронная дистрибуция</a:t>
          </a:r>
          <a:r>
            <a:rPr lang="ru-RU" sz="1100" b="0" i="0" baseline="0">
              <a:solidFill>
                <a:schemeClr val="dk1"/>
              </a:solidFill>
              <a:effectLst/>
              <a:latin typeface="+mn-lt"/>
              <a:ea typeface="+mn-ea"/>
              <a:cs typeface="+mn-cs"/>
            </a:rPr>
            <a:t> –</a:t>
          </a:r>
          <a:r>
            <a:rPr lang="ru-RU" sz="1100" b="0" i="0">
              <a:solidFill>
                <a:schemeClr val="dk1"/>
              </a:solidFill>
              <a:effectLst/>
              <a:latin typeface="+mn-lt"/>
              <a:ea typeface="+mn-ea"/>
              <a:cs typeface="+mn-cs"/>
            </a:rPr>
            <a:t> это возможность скачивать необходимые документы и дистрибутивы в личном</a:t>
          </a:r>
          <a:r>
            <a:rPr lang="ru-RU" sz="1100" b="0" i="0" baseline="0">
              <a:solidFill>
                <a:schemeClr val="dk1"/>
              </a:solidFill>
              <a:effectLst/>
              <a:latin typeface="+mn-lt"/>
              <a:ea typeface="+mn-ea"/>
              <a:cs typeface="+mn-cs"/>
            </a:rPr>
            <a:t> кабинете </a:t>
          </a:r>
          <a:r>
            <a:rPr lang="ru-RU" sz="1100" b="0" i="0">
              <a:solidFill>
                <a:schemeClr val="dk1"/>
              </a:solidFill>
              <a:effectLst/>
              <a:latin typeface="+mn-lt"/>
              <a:ea typeface="+mn-ea"/>
              <a:cs typeface="+mn-cs"/>
            </a:rPr>
            <a:t>пользователя на</a:t>
          </a:r>
          <a:r>
            <a:rPr lang="ru-RU" sz="1100" b="0" i="0" baseline="0">
              <a:solidFill>
                <a:schemeClr val="dk1"/>
              </a:solidFill>
              <a:effectLst/>
              <a:latin typeface="+mn-lt"/>
              <a:ea typeface="+mn-ea"/>
              <a:cs typeface="+mn-cs"/>
            </a:rPr>
            <a:t> </a:t>
          </a:r>
          <a:r>
            <a:rPr lang="ru-RU" sz="1100" b="0" i="0">
              <a:solidFill>
                <a:schemeClr val="dk1"/>
              </a:solidFill>
              <a:effectLst/>
              <a:latin typeface="+mn-lt"/>
              <a:ea typeface="+mn-ea"/>
              <a:cs typeface="+mn-cs"/>
            </a:rPr>
            <a:t>сайте </a:t>
          </a:r>
          <a:r>
            <a:rPr lang="en-US" sz="1100" b="0" i="0">
              <a:solidFill>
                <a:schemeClr val="dk1"/>
              </a:solidFill>
              <a:effectLst/>
              <a:latin typeface="+mn-lt"/>
              <a:ea typeface="+mn-ea"/>
              <a:cs typeface="+mn-cs"/>
            </a:rPr>
            <a:t>www.dallaslock.ru </a:t>
          </a:r>
          <a:r>
            <a:rPr lang="ru-RU" sz="1100" b="0" i="0">
              <a:solidFill>
                <a:schemeClr val="dk1"/>
              </a:solidFill>
              <a:effectLst/>
              <a:latin typeface="+mn-lt"/>
              <a:ea typeface="+mn-ea"/>
              <a:cs typeface="+mn-cs"/>
            </a:rPr>
            <a:t>или воспользоваться ссылками для скачивания в момент активации лицензий. Возможность приобретать физические дистрибутивы сохраняется.</a:t>
          </a:r>
          <a:endParaRPr lang="ru-RU">
            <a:effectLst/>
          </a:endParaRPr>
        </a:p>
        <a:p>
          <a:pPr algn="just"/>
          <a:endParaRPr lang="en-US" sz="1100" b="0" i="0" u="none" strike="noStrike" baseline="0">
            <a:solidFill>
              <a:schemeClr val="dk1"/>
            </a:solidFill>
            <a:latin typeface="+mn-lt"/>
            <a:ea typeface="+mn-ea"/>
            <a:cs typeface="Arial" panose="020B0604020202020204" pitchFamily="34" charset="0"/>
          </a:endParaRPr>
        </a:p>
        <a:p>
          <a:r>
            <a:rPr lang="ru-RU" sz="1100" b="1">
              <a:solidFill>
                <a:schemeClr val="dk1"/>
              </a:solidFill>
              <a:effectLst/>
              <a:latin typeface="+mn-lt"/>
              <a:ea typeface="+mn-ea"/>
              <a:cs typeface="+mn-cs"/>
            </a:rPr>
            <a:t>Dallas Lock Linux. Сертифицированный комплект для установки</a:t>
          </a:r>
          <a:endParaRPr lang="ru-RU">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ru-RU" sz="1100">
              <a:solidFill>
                <a:schemeClr val="dk1"/>
              </a:solidFill>
              <a:effectLst/>
              <a:latin typeface="+mn-lt"/>
              <a:ea typeface="+mn-ea"/>
              <a:cs typeface="+mn-cs"/>
            </a:rPr>
            <a:t>Компакт-диск с ПО Dallas Lock Linuх и документацией в электронном виде;</a:t>
          </a:r>
          <a:r>
            <a:rPr lang="ru-RU" sz="1100" baseline="0">
              <a:solidFill>
                <a:schemeClr val="dk1"/>
              </a:solidFill>
              <a:effectLst/>
              <a:latin typeface="+mn-lt"/>
              <a:ea typeface="+mn-ea"/>
              <a:cs typeface="+mn-cs"/>
            </a:rPr>
            <a:t> </a:t>
          </a:r>
          <a:r>
            <a:rPr lang="ru-RU" sz="1100">
              <a:solidFill>
                <a:schemeClr val="dk1"/>
              </a:solidFill>
              <a:effectLst/>
              <a:latin typeface="+mn-lt"/>
              <a:ea typeface="+mn-ea"/>
              <a:cs typeface="+mn-cs"/>
            </a:rPr>
            <a:t>формуляр; копия сертификата ФСТЭК России; краткое руководство </a:t>
          </a:r>
          <a:r>
            <a:rPr lang="ru-RU" sz="1100" b="1" i="0" baseline="0">
              <a:solidFill>
                <a:schemeClr val="dk1"/>
              </a:solidFill>
              <a:effectLst/>
              <a:latin typeface="+mn-lt"/>
              <a:ea typeface="+mn-ea"/>
              <a:cs typeface="+mn-cs"/>
            </a:rPr>
            <a:t>(возможна электронная поставка).</a:t>
          </a:r>
          <a:endParaRPr lang="ru-RU">
            <a:effectLst/>
          </a:endParaRPr>
        </a:p>
      </xdr:txBody>
    </xdr:sp>
    <xdr:clientData/>
  </xdr:twoCellAnchor>
  <xdr:twoCellAnchor>
    <xdr:from>
      <xdr:col>3</xdr:col>
      <xdr:colOff>54684</xdr:colOff>
      <xdr:row>26</xdr:row>
      <xdr:rowOff>138262</xdr:rowOff>
    </xdr:from>
    <xdr:to>
      <xdr:col>11</xdr:col>
      <xdr:colOff>603250</xdr:colOff>
      <xdr:row>34</xdr:row>
      <xdr:rowOff>469718</xdr:rowOff>
    </xdr:to>
    <xdr:sp macro="" textlink="">
      <xdr:nvSpPr>
        <xdr:cNvPr id="3" name="TextBox 2">
          <a:extLst>
            <a:ext uri="{FF2B5EF4-FFF2-40B4-BE49-F238E27FC236}">
              <a16:creationId xmlns:a16="http://schemas.microsoft.com/office/drawing/2014/main" xmlns="" id="{00000000-0008-0000-0300-000003000000}"/>
            </a:ext>
          </a:extLst>
        </xdr:cNvPr>
        <xdr:cNvSpPr txBox="1"/>
      </xdr:nvSpPr>
      <xdr:spPr>
        <a:xfrm>
          <a:off x="6325309" y="10663387"/>
          <a:ext cx="7279566" cy="452245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ru-RU" sz="1100" b="1">
              <a:solidFill>
                <a:schemeClr val="dk1"/>
              </a:solidFill>
              <a:effectLst/>
              <a:latin typeface="+mn-lt"/>
              <a:ea typeface="+mn-ea"/>
              <a:cs typeface="+mn-cs"/>
            </a:rPr>
            <a:t>Техническая поддержка</a:t>
          </a:r>
          <a:endParaRPr lang="ru-RU">
            <a:effectLst/>
          </a:endParaRPr>
        </a:p>
        <a:p>
          <a:pPr eaLnBrk="1" fontAlgn="auto" latinLnBrk="0" hangingPunct="1"/>
          <a:r>
            <a:rPr lang="ru-RU" sz="1100" b="0" i="0" baseline="0">
              <a:solidFill>
                <a:schemeClr val="dk1"/>
              </a:solidFill>
              <a:effectLst/>
              <a:latin typeface="+mn-lt"/>
              <a:ea typeface="+mn-ea"/>
              <a:cs typeface="+mn-cs"/>
            </a:rPr>
            <a:t>При первичном приобретении гарантийное сопровождение (основной пакет) в течение 1 года включено в стоимость (окончание артикула </a:t>
          </a:r>
          <a:r>
            <a:rPr lang="en-US" sz="1100" b="1" i="0" baseline="0">
              <a:solidFill>
                <a:schemeClr val="dk1"/>
              </a:solidFill>
              <a:effectLst/>
              <a:latin typeface="+mn-lt"/>
              <a:ea typeface="+mn-ea"/>
              <a:cs typeface="+mn-cs"/>
            </a:rPr>
            <a:t>z = 12M</a:t>
          </a:r>
          <a:r>
            <a:rPr lang="ru-RU" sz="1100" b="0" i="0" baseline="0">
              <a:solidFill>
                <a:schemeClr val="dk1"/>
              </a:solidFill>
              <a:effectLst/>
              <a:latin typeface="+mn-lt"/>
              <a:ea typeface="+mn-ea"/>
              <a:cs typeface="+mn-cs"/>
            </a:rPr>
            <a:t>).</a:t>
          </a:r>
          <a:r>
            <a:rPr lang="en-US" sz="1100" b="0" i="0" baseline="0">
              <a:solidFill>
                <a:schemeClr val="dk1"/>
              </a:solidFill>
              <a:effectLst/>
              <a:latin typeface="+mn-lt"/>
              <a:ea typeface="+mn-ea"/>
              <a:cs typeface="+mn-cs"/>
            </a:rPr>
            <a:t> </a:t>
          </a:r>
          <a:r>
            <a:rPr lang="ru-RU" sz="1100" b="0" i="0" baseline="0">
              <a:solidFill>
                <a:schemeClr val="dk1"/>
              </a:solidFill>
              <a:effectLst/>
              <a:latin typeface="+mn-lt"/>
              <a:ea typeface="+mn-ea"/>
              <a:cs typeface="+mn-cs"/>
            </a:rPr>
            <a:t>В случае приобретения лицензий с гарантийным сопровождением (основной пакет) на 3 года, стоимость лицензии умножается на коэффициент </a:t>
          </a:r>
          <a:r>
            <a:rPr lang="ru-RU" sz="1100" b="1" i="0" baseline="0">
              <a:solidFill>
                <a:schemeClr val="dk1"/>
              </a:solidFill>
              <a:effectLst/>
              <a:latin typeface="+mn-lt"/>
              <a:ea typeface="+mn-ea"/>
              <a:cs typeface="+mn-cs"/>
            </a:rPr>
            <a:t>1,35</a:t>
          </a:r>
          <a:r>
            <a:rPr lang="ru-RU" sz="1100" b="0" i="0" baseline="0">
              <a:solidFill>
                <a:schemeClr val="dk1"/>
              </a:solidFill>
              <a:effectLst/>
              <a:latin typeface="+mn-lt"/>
              <a:ea typeface="+mn-ea"/>
              <a:cs typeface="+mn-cs"/>
            </a:rPr>
            <a:t> (</a:t>
          </a:r>
          <a:r>
            <a:rPr lang="en-US" sz="1100" b="1" i="0" baseline="0">
              <a:solidFill>
                <a:schemeClr val="dk1"/>
              </a:solidFill>
              <a:effectLst/>
              <a:latin typeface="+mn-lt"/>
              <a:ea typeface="+mn-ea"/>
              <a:cs typeface="+mn-cs"/>
            </a:rPr>
            <a:t>z = 36M</a:t>
          </a:r>
          <a:r>
            <a:rPr lang="ru-RU" sz="1100" b="0" i="0" baseline="0">
              <a:solidFill>
                <a:schemeClr val="dk1"/>
              </a:solidFill>
              <a:effectLst/>
              <a:latin typeface="+mn-lt"/>
              <a:ea typeface="+mn-ea"/>
              <a:cs typeface="+mn-cs"/>
            </a:rPr>
            <a:t>). При первичном приобретении с техническим сопровождением расширенного пакета «24х7» окончания артикулов </a:t>
          </a:r>
          <a:r>
            <a:rPr lang="en-US" sz="1100" b="1" i="0" baseline="0">
              <a:solidFill>
                <a:schemeClr val="dk1"/>
              </a:solidFill>
              <a:effectLst/>
              <a:latin typeface="+mn-lt"/>
              <a:ea typeface="+mn-ea"/>
              <a:cs typeface="+mn-cs"/>
            </a:rPr>
            <a:t>12M</a:t>
          </a:r>
          <a:r>
            <a:rPr lang="en-US" sz="1100" b="0" i="0" baseline="0">
              <a:solidFill>
                <a:schemeClr val="dk1"/>
              </a:solidFill>
              <a:effectLst/>
              <a:latin typeface="+mn-lt"/>
              <a:ea typeface="+mn-ea"/>
              <a:cs typeface="+mn-cs"/>
            </a:rPr>
            <a:t>, </a:t>
          </a:r>
          <a:r>
            <a:rPr lang="en-US" sz="1100" b="1" i="0" baseline="0">
              <a:solidFill>
                <a:schemeClr val="dk1"/>
              </a:solidFill>
              <a:effectLst/>
              <a:latin typeface="+mn-lt"/>
              <a:ea typeface="+mn-ea"/>
              <a:cs typeface="+mn-cs"/>
            </a:rPr>
            <a:t>36M</a:t>
          </a:r>
          <a:r>
            <a:rPr lang="ru-RU" sz="1100" b="0" i="0" baseline="0">
              <a:solidFill>
                <a:schemeClr val="dk1"/>
              </a:solidFill>
              <a:effectLst/>
              <a:latin typeface="+mn-lt"/>
              <a:ea typeface="+mn-ea"/>
              <a:cs typeface="+mn-cs"/>
            </a:rPr>
            <a:t> заменяются на </a:t>
          </a:r>
          <a:r>
            <a:rPr lang="en-US" sz="1100" b="1" i="0" baseline="0">
              <a:solidFill>
                <a:schemeClr val="dk1"/>
              </a:solidFill>
              <a:effectLst/>
              <a:latin typeface="+mn-lt"/>
              <a:ea typeface="+mn-ea"/>
              <a:cs typeface="+mn-cs"/>
            </a:rPr>
            <a:t>12M247</a:t>
          </a:r>
          <a:r>
            <a:rPr lang="ru-RU" sz="1100" b="0" i="0" baseline="0">
              <a:solidFill>
                <a:schemeClr val="dk1"/>
              </a:solidFill>
              <a:effectLst/>
              <a:latin typeface="+mn-lt"/>
              <a:ea typeface="+mn-ea"/>
              <a:cs typeface="+mn-cs"/>
            </a:rPr>
            <a:t>, </a:t>
          </a:r>
          <a:r>
            <a:rPr lang="en-US" sz="1100" b="1" i="0" baseline="0">
              <a:solidFill>
                <a:schemeClr val="dk1"/>
              </a:solidFill>
              <a:effectLst/>
              <a:latin typeface="+mn-lt"/>
              <a:ea typeface="+mn-ea"/>
              <a:cs typeface="+mn-cs"/>
            </a:rPr>
            <a:t>36M247</a:t>
          </a:r>
          <a:r>
            <a:rPr lang="en-US" sz="1100" b="0" i="0" baseline="0">
              <a:solidFill>
                <a:schemeClr val="dk1"/>
              </a:solidFill>
              <a:effectLst/>
              <a:latin typeface="+mn-lt"/>
              <a:ea typeface="+mn-ea"/>
              <a:cs typeface="+mn-cs"/>
            </a:rPr>
            <a:t> </a:t>
          </a:r>
          <a:r>
            <a:rPr lang="ru-RU" sz="1100" b="0" i="0" baseline="0">
              <a:solidFill>
                <a:schemeClr val="dk1"/>
              </a:solidFill>
              <a:effectLst/>
              <a:latin typeface="+mn-lt"/>
              <a:ea typeface="+mn-ea"/>
              <a:cs typeface="+mn-cs"/>
            </a:rPr>
            <a:t>соответственно.</a:t>
          </a:r>
          <a:endParaRPr lang="ru-RU">
            <a:effectLst/>
          </a:endParaRPr>
        </a:p>
        <a:p>
          <a:pPr algn="l"/>
          <a:endParaRPr lang="ru-RU" sz="1100" b="0" i="0" baseline="0">
            <a:solidFill>
              <a:schemeClr val="dk1"/>
            </a:solidFill>
            <a:effectLst/>
            <a:latin typeface="+mn-lt"/>
            <a:ea typeface="+mn-ea"/>
            <a:cs typeface="+mn-cs"/>
          </a:endParaRPr>
        </a:p>
        <a:p>
          <a:pPr algn="l"/>
          <a:r>
            <a:rPr lang="ru-RU" sz="1100" b="0" i="0" baseline="0">
              <a:solidFill>
                <a:schemeClr val="dk1"/>
              </a:solidFill>
              <a:effectLst/>
              <a:latin typeface="+mn-lt"/>
              <a:ea typeface="+mn-ea"/>
              <a:cs typeface="+mn-cs"/>
            </a:rPr>
            <a:t>Продление технического сопровождения оформляется в виде сертификата на код активации технической поддержки. </a:t>
          </a:r>
          <a:r>
            <a:rPr lang="ru-RU" sz="1100">
              <a:solidFill>
                <a:schemeClr val="dk1"/>
              </a:solidFill>
              <a:effectLst/>
              <a:latin typeface="+mn-lt"/>
              <a:ea typeface="+mn-ea"/>
              <a:cs typeface="+mn-cs"/>
            </a:rPr>
            <a:t>Сертификат передается по УПД или товарной накладной по форме ТОРГ-12 с оформлением счета-фактуры.</a:t>
          </a:r>
          <a:endParaRPr lang="ru-RU">
            <a:effectLst/>
          </a:endParaRPr>
        </a:p>
        <a:p>
          <a:pPr algn="l" eaLnBrk="1" fontAlgn="auto" latinLnBrk="0" hangingPunct="1"/>
          <a:endParaRPr lang="ru-RU">
            <a:effectLst/>
          </a:endParaRPr>
        </a:p>
        <a:p>
          <a:pPr algn="l"/>
          <a:r>
            <a:rPr lang="ru-RU" sz="1100" b="0" i="0" baseline="0">
              <a:solidFill>
                <a:schemeClr val="dk1"/>
              </a:solidFill>
              <a:effectLst/>
              <a:latin typeface="+mn-lt"/>
              <a:ea typeface="+mn-ea"/>
              <a:cs typeface="+mn-cs"/>
            </a:rPr>
            <a:t>Стоимость последующего технического сопровождения (основной пакет) составляет 20% (15% для лицензий с артикулом </a:t>
          </a:r>
          <a:r>
            <a:rPr lang="en-US" sz="1100" b="0" i="0" baseline="0">
              <a:solidFill>
                <a:schemeClr val="dk1"/>
              </a:solidFill>
              <a:effectLst/>
              <a:latin typeface="+mn-lt"/>
              <a:ea typeface="+mn-ea"/>
              <a:cs typeface="+mn-cs"/>
            </a:rPr>
            <a:t>*</a:t>
          </a:r>
          <a:r>
            <a:rPr lang="ru-RU" sz="1100" b="0" i="0" baseline="0">
              <a:solidFill>
                <a:schemeClr val="dk1"/>
              </a:solidFill>
              <a:effectLst/>
              <a:latin typeface="+mn-lt"/>
              <a:ea typeface="+mn-ea"/>
              <a:cs typeface="+mn-cs"/>
            </a:rPr>
            <a:t>.36</a:t>
          </a:r>
          <a:r>
            <a:rPr lang="en-US" sz="1100" b="0" i="0" baseline="0">
              <a:solidFill>
                <a:schemeClr val="dk1"/>
              </a:solidFill>
              <a:effectLst/>
              <a:latin typeface="+mn-lt"/>
              <a:ea typeface="+mn-ea"/>
              <a:cs typeface="+mn-cs"/>
            </a:rPr>
            <a:t>M</a:t>
          </a:r>
          <a:r>
            <a:rPr lang="ru-RU" sz="1100" b="0" i="0" baseline="0">
              <a:solidFill>
                <a:schemeClr val="dk1"/>
              </a:solidFill>
              <a:effectLst/>
              <a:latin typeface="+mn-lt"/>
              <a:ea typeface="+mn-ea"/>
              <a:cs typeface="+mn-cs"/>
            </a:rPr>
            <a:t>) от стоимости лицензий в год. При оплате технического сопровождения (основной пакет) вперед на 3 года действует скидка – стоимость продления составит 55% (40% для лицензий с артикулом </a:t>
          </a:r>
          <a:r>
            <a:rPr lang="en-US" sz="1100" b="0" i="0" baseline="0">
              <a:solidFill>
                <a:schemeClr val="dk1"/>
              </a:solidFill>
              <a:effectLst/>
              <a:latin typeface="+mn-lt"/>
              <a:ea typeface="+mn-ea"/>
              <a:cs typeface="+mn-cs"/>
            </a:rPr>
            <a:t>*</a:t>
          </a:r>
          <a:r>
            <a:rPr lang="ru-RU" sz="1100" b="0" i="0" baseline="0">
              <a:solidFill>
                <a:schemeClr val="dk1"/>
              </a:solidFill>
              <a:effectLst/>
              <a:latin typeface="+mn-lt"/>
              <a:ea typeface="+mn-ea"/>
              <a:cs typeface="+mn-cs"/>
            </a:rPr>
            <a:t>.36</a:t>
          </a:r>
          <a:r>
            <a:rPr lang="en-US" sz="1100" b="0" i="0" baseline="0">
              <a:solidFill>
                <a:schemeClr val="dk1"/>
              </a:solidFill>
              <a:effectLst/>
              <a:latin typeface="+mn-lt"/>
              <a:ea typeface="+mn-ea"/>
              <a:cs typeface="+mn-cs"/>
            </a:rPr>
            <a:t>M</a:t>
          </a:r>
          <a:r>
            <a:rPr lang="ru-RU" sz="1100" b="0" i="0" baseline="0">
              <a:solidFill>
                <a:schemeClr val="dk1"/>
              </a:solidFill>
              <a:effectLst/>
              <a:latin typeface="+mn-lt"/>
              <a:ea typeface="+mn-ea"/>
              <a:cs typeface="+mn-cs"/>
            </a:rPr>
            <a:t>) от розничной стоимости лицензий. Стоимость последующего технического сопровождения (расширенный пакет «24х7») составляет 30% (22% для лицензий с артикулом </a:t>
          </a:r>
          <a:r>
            <a:rPr lang="en-US" sz="1100" b="0" i="0" baseline="0">
              <a:solidFill>
                <a:schemeClr val="dk1"/>
              </a:solidFill>
              <a:effectLst/>
              <a:latin typeface="+mn-lt"/>
              <a:ea typeface="+mn-ea"/>
              <a:cs typeface="+mn-cs"/>
            </a:rPr>
            <a:t>*</a:t>
          </a:r>
          <a:r>
            <a:rPr lang="ru-RU" sz="1100" b="0" i="0" baseline="0">
              <a:solidFill>
                <a:schemeClr val="dk1"/>
              </a:solidFill>
              <a:effectLst/>
              <a:latin typeface="+mn-lt"/>
              <a:ea typeface="+mn-ea"/>
              <a:cs typeface="+mn-cs"/>
            </a:rPr>
            <a:t>.36</a:t>
          </a:r>
          <a:r>
            <a:rPr lang="en-US" sz="1100" b="0" i="0" baseline="0">
              <a:solidFill>
                <a:schemeClr val="dk1"/>
              </a:solidFill>
              <a:effectLst/>
              <a:latin typeface="+mn-lt"/>
              <a:ea typeface="+mn-ea"/>
              <a:cs typeface="+mn-cs"/>
            </a:rPr>
            <a:t>M</a:t>
          </a:r>
          <a:r>
            <a:rPr lang="ru-RU" sz="1100" b="0" i="0" baseline="0">
              <a:solidFill>
                <a:schemeClr val="dk1"/>
              </a:solidFill>
              <a:effectLst/>
              <a:latin typeface="+mn-lt"/>
              <a:ea typeface="+mn-ea"/>
              <a:cs typeface="+mn-cs"/>
            </a:rPr>
            <a:t>) от стоимости лицензий в год. При оплате технического сопровождения (расширенный пакет «24х7») вперед на 3 года действует скидка – стоимость продления составит 80% (60% для лицензий с артикулом </a:t>
          </a:r>
          <a:r>
            <a:rPr lang="en-US" sz="1100" b="0" i="0" baseline="0">
              <a:solidFill>
                <a:schemeClr val="dk1"/>
              </a:solidFill>
              <a:effectLst/>
              <a:latin typeface="+mn-lt"/>
              <a:ea typeface="+mn-ea"/>
              <a:cs typeface="+mn-cs"/>
            </a:rPr>
            <a:t>*</a:t>
          </a:r>
          <a:r>
            <a:rPr lang="ru-RU" sz="1100" b="0" i="0" baseline="0">
              <a:solidFill>
                <a:schemeClr val="dk1"/>
              </a:solidFill>
              <a:effectLst/>
              <a:latin typeface="+mn-lt"/>
              <a:ea typeface="+mn-ea"/>
              <a:cs typeface="+mn-cs"/>
            </a:rPr>
            <a:t>.36</a:t>
          </a:r>
          <a:r>
            <a:rPr lang="en-US" sz="1100" b="0" i="0" baseline="0">
              <a:solidFill>
                <a:schemeClr val="dk1"/>
              </a:solidFill>
              <a:effectLst/>
              <a:latin typeface="+mn-lt"/>
              <a:ea typeface="+mn-ea"/>
              <a:cs typeface="+mn-cs"/>
            </a:rPr>
            <a:t>M</a:t>
          </a:r>
          <a:r>
            <a:rPr lang="ru-RU" sz="1100" b="0" i="0" baseline="0">
              <a:solidFill>
                <a:schemeClr val="dk1"/>
              </a:solidFill>
              <a:effectLst/>
              <a:latin typeface="+mn-lt"/>
              <a:ea typeface="+mn-ea"/>
              <a:cs typeface="+mn-cs"/>
            </a:rPr>
            <a:t>) от стоимости лицензий. При продлении технического сопровождения оплачивается также весь период с момента окончания гарантийного или технического сопровождения</a:t>
          </a:r>
          <a:r>
            <a:rPr lang="en-US" sz="1100" b="0" i="0" baseline="0">
              <a:solidFill>
                <a:schemeClr val="dk1"/>
              </a:solidFill>
              <a:effectLst/>
              <a:latin typeface="+mn-lt"/>
              <a:ea typeface="+mn-ea"/>
              <a:cs typeface="+mn-cs"/>
            </a:rPr>
            <a:t> </a:t>
          </a:r>
          <a:r>
            <a:rPr lang="ru-RU" sz="1100" b="0" i="0">
              <a:solidFill>
                <a:schemeClr val="dk1"/>
              </a:solidFill>
              <a:effectLst/>
              <a:latin typeface="+mn-lt"/>
              <a:ea typeface="+mn-ea"/>
              <a:cs typeface="+mn-cs"/>
            </a:rPr>
            <a:t>на все лицензии</a:t>
          </a:r>
          <a:r>
            <a:rPr lang="ru-RU" sz="1100" b="0" i="0" baseline="0">
              <a:solidFill>
                <a:schemeClr val="dk1"/>
              </a:solidFill>
              <a:effectLst/>
              <a:latin typeface="+mn-lt"/>
              <a:ea typeface="+mn-ea"/>
              <a:cs typeface="+mn-cs"/>
            </a:rPr>
            <a:t>.</a:t>
          </a:r>
          <a:endParaRPr lang="en-US" sz="1100" b="0" i="0" baseline="0">
            <a:solidFill>
              <a:schemeClr val="dk1"/>
            </a:solidFill>
            <a:effectLst/>
            <a:latin typeface="+mn-lt"/>
            <a:ea typeface="+mn-ea"/>
            <a:cs typeface="+mn-cs"/>
          </a:endParaRPr>
        </a:p>
        <a:p>
          <a:pPr algn="l"/>
          <a:endParaRPr lang="ru-RU">
            <a:effectLst/>
          </a:endParaRPr>
        </a:p>
        <a:p>
          <a:pPr algn="l"/>
          <a:r>
            <a:rPr lang="ru-RU" sz="1100" b="0" i="0" baseline="0">
              <a:solidFill>
                <a:schemeClr val="dk1"/>
              </a:solidFill>
              <a:effectLst/>
              <a:latin typeface="+mn-lt"/>
              <a:ea typeface="+mn-ea"/>
              <a:cs typeface="+mn-cs"/>
            </a:rPr>
            <a:t>Пользователи программного обеспечения </a:t>
          </a:r>
          <a:r>
            <a:rPr lang="en-US" sz="1100" b="0" i="0" baseline="0">
              <a:solidFill>
                <a:schemeClr val="dk1"/>
              </a:solidFill>
              <a:effectLst/>
              <a:latin typeface="+mn-lt"/>
              <a:ea typeface="+mn-ea"/>
              <a:cs typeface="+mn-cs"/>
            </a:rPr>
            <a:t>Dallas Lock </a:t>
          </a:r>
          <a:r>
            <a:rPr lang="ru-RU" sz="1100" b="0" i="0" baseline="0">
              <a:solidFill>
                <a:schemeClr val="dk1"/>
              </a:solidFill>
              <a:effectLst/>
              <a:latin typeface="+mn-lt"/>
              <a:ea typeface="+mn-ea"/>
              <a:cs typeface="+mn-cs"/>
            </a:rPr>
            <a:t>в рамках гарантийного или непрерывно действующего технического сопровождения имеют право бесплатного обновления лицензий до следующей версии этого решения (с тем же объемом функциональности). Оплачивается только стоимость новых сертифицированных комплектов для установки и 1 год (3 года для лицензий с артикулом </a:t>
          </a:r>
          <a:r>
            <a:rPr lang="en-US" sz="1100" b="0" i="0" baseline="0">
              <a:solidFill>
                <a:schemeClr val="dk1"/>
              </a:solidFill>
              <a:effectLst/>
              <a:latin typeface="+mn-lt"/>
              <a:ea typeface="+mn-ea"/>
              <a:cs typeface="+mn-cs"/>
            </a:rPr>
            <a:t>*</a:t>
          </a:r>
          <a:r>
            <a:rPr lang="ru-RU" sz="1100" b="0" i="0" baseline="0">
              <a:solidFill>
                <a:schemeClr val="dk1"/>
              </a:solidFill>
              <a:effectLst/>
              <a:latin typeface="+mn-lt"/>
              <a:ea typeface="+mn-ea"/>
              <a:cs typeface="+mn-cs"/>
            </a:rPr>
            <a:t>.36</a:t>
          </a:r>
          <a:r>
            <a:rPr lang="en-US" sz="1100" b="0" i="0" baseline="0">
              <a:solidFill>
                <a:schemeClr val="dk1"/>
              </a:solidFill>
              <a:effectLst/>
              <a:latin typeface="+mn-lt"/>
              <a:ea typeface="+mn-ea"/>
              <a:cs typeface="+mn-cs"/>
            </a:rPr>
            <a:t>M</a:t>
          </a:r>
          <a:r>
            <a:rPr lang="ru-RU" sz="1100" b="0" i="0" baseline="0">
              <a:solidFill>
                <a:schemeClr val="dk1"/>
              </a:solidFill>
              <a:effectLst/>
              <a:latin typeface="+mn-lt"/>
              <a:ea typeface="+mn-ea"/>
              <a:cs typeface="+mn-cs"/>
            </a:rPr>
            <a:t>) технической поддержки.</a:t>
          </a:r>
          <a:endParaRPr lang="ru-RU">
            <a:effectLst/>
          </a:endParaRPr>
        </a:p>
        <a:p>
          <a:pPr algn="just">
            <a:lnSpc>
              <a:spcPct val="115000"/>
            </a:lnSpc>
            <a:spcAft>
              <a:spcPts val="0"/>
            </a:spcAft>
          </a:pPr>
          <a:endParaRPr lang="ru-RU" sz="1100">
            <a:effectLst/>
            <a:latin typeface="+mn-lt"/>
            <a:ea typeface="Calibri"/>
            <a:cs typeface="Times New Roman"/>
          </a:endParaRPr>
        </a:p>
      </xdr:txBody>
    </xdr:sp>
    <xdr:clientData/>
  </xdr:twoCellAnchor>
  <xdr:twoCellAnchor>
    <xdr:from>
      <xdr:col>0</xdr:col>
      <xdr:colOff>81703</xdr:colOff>
      <xdr:row>51</xdr:row>
      <xdr:rowOff>82553</xdr:rowOff>
    </xdr:from>
    <xdr:to>
      <xdr:col>13</xdr:col>
      <xdr:colOff>79375</xdr:colOff>
      <xdr:row>62</xdr:row>
      <xdr:rowOff>19594</xdr:rowOff>
    </xdr:to>
    <xdr:grpSp>
      <xdr:nvGrpSpPr>
        <xdr:cNvPr id="4" name="Группа 3">
          <a:extLst>
            <a:ext uri="{FF2B5EF4-FFF2-40B4-BE49-F238E27FC236}">
              <a16:creationId xmlns:a16="http://schemas.microsoft.com/office/drawing/2014/main" xmlns="" id="{00000000-0008-0000-0300-000004000000}"/>
            </a:ext>
          </a:extLst>
        </xdr:cNvPr>
        <xdr:cNvGrpSpPr/>
      </xdr:nvGrpSpPr>
      <xdr:grpSpPr>
        <a:xfrm>
          <a:off x="81703" y="19504028"/>
          <a:ext cx="13913697" cy="2032541"/>
          <a:chOff x="57025" y="15058522"/>
          <a:chExt cx="13209169" cy="1072628"/>
        </a:xfrm>
      </xdr:grpSpPr>
      <xdr:sp macro="" textlink="">
        <xdr:nvSpPr>
          <xdr:cNvPr id="5" name="TextBox 4">
            <a:extLst>
              <a:ext uri="{FF2B5EF4-FFF2-40B4-BE49-F238E27FC236}">
                <a16:creationId xmlns:a16="http://schemas.microsoft.com/office/drawing/2014/main" xmlns="" id="{00000000-0008-0000-0300-000005000000}"/>
              </a:ext>
            </a:extLst>
          </xdr:cNvPr>
          <xdr:cNvSpPr txBox="1"/>
        </xdr:nvSpPr>
        <xdr:spPr>
          <a:xfrm>
            <a:off x="57025" y="15102450"/>
            <a:ext cx="12985823" cy="1028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baseline="0">
                <a:solidFill>
                  <a:schemeClr val="dk1"/>
                </a:solidFill>
                <a:latin typeface="+mn-lt"/>
                <a:ea typeface="+mn-ea"/>
                <a:cs typeface="Arial" panose="020B0604020202020204" pitchFamily="34" charset="0"/>
              </a:rPr>
              <a:t>* «x» – </a:t>
            </a:r>
            <a:r>
              <a:rPr lang="ru-RU" sz="1100" b="0" i="0" u="none" strike="noStrike" baseline="0">
                <a:solidFill>
                  <a:schemeClr val="dk1"/>
                </a:solidFill>
                <a:latin typeface="+mn-lt"/>
                <a:ea typeface="+mn-ea"/>
                <a:cs typeface="Arial" panose="020B0604020202020204" pitchFamily="34" charset="0"/>
              </a:rPr>
              <a:t>диапазон приобретаемых лицензий по количеству рабочих станций, серверов</a:t>
            </a:r>
            <a:r>
              <a:rPr lang="ru-RU" sz="1100" b="0" i="0" baseline="0">
                <a:solidFill>
                  <a:schemeClr val="dk1"/>
                </a:solidFill>
                <a:effectLst/>
                <a:latin typeface="+mn-lt"/>
                <a:ea typeface="+mn-ea"/>
                <a:cs typeface="+mn-cs"/>
              </a:rPr>
              <a:t>; «</a:t>
            </a:r>
            <a:r>
              <a:rPr lang="en-US" sz="1100" b="0" i="0" baseline="0">
                <a:solidFill>
                  <a:schemeClr val="dk1"/>
                </a:solidFill>
                <a:effectLst/>
                <a:latin typeface="+mn-lt"/>
                <a:ea typeface="+mn-ea"/>
                <a:cs typeface="+mn-cs"/>
              </a:rPr>
              <a:t>z» – </a:t>
            </a:r>
            <a:r>
              <a:rPr lang="ru-RU" sz="1100" b="0" i="0" baseline="0">
                <a:solidFill>
                  <a:schemeClr val="dk1"/>
                </a:solidFill>
                <a:effectLst/>
                <a:latin typeface="+mn-lt"/>
                <a:ea typeface="+mn-ea"/>
                <a:cs typeface="+mn-cs"/>
              </a:rPr>
              <a:t>срок оказания гарантийного сопровождения: </a:t>
            </a:r>
            <a:r>
              <a:rPr lang="en-US" sz="1100" b="0" i="0" baseline="0">
                <a:solidFill>
                  <a:schemeClr val="dk1"/>
                </a:solidFill>
                <a:effectLst/>
                <a:latin typeface="+mn-lt"/>
                <a:ea typeface="+mn-ea"/>
                <a:cs typeface="+mn-cs"/>
              </a:rPr>
              <a:t>12M </a:t>
            </a:r>
            <a:r>
              <a:rPr lang="ru-RU" sz="1100" b="0" i="0" baseline="0">
                <a:solidFill>
                  <a:schemeClr val="dk1"/>
                </a:solidFill>
                <a:effectLst/>
                <a:latin typeface="+mn-lt"/>
                <a:ea typeface="+mn-ea"/>
                <a:cs typeface="+mn-cs"/>
              </a:rPr>
              <a:t>–</a:t>
            </a:r>
            <a:r>
              <a:rPr lang="en-US" sz="1100" b="0" i="0" baseline="0">
                <a:solidFill>
                  <a:schemeClr val="dk1"/>
                </a:solidFill>
                <a:effectLst/>
                <a:latin typeface="+mn-lt"/>
                <a:ea typeface="+mn-ea"/>
                <a:cs typeface="+mn-cs"/>
              </a:rPr>
              <a:t> </a:t>
            </a:r>
            <a:r>
              <a:rPr lang="ru-RU" sz="1100" b="0" i="0" baseline="0">
                <a:solidFill>
                  <a:schemeClr val="dk1"/>
                </a:solidFill>
                <a:effectLst/>
                <a:latin typeface="+mn-lt"/>
                <a:ea typeface="+mn-ea"/>
                <a:cs typeface="+mn-cs"/>
              </a:rPr>
              <a:t>12 месяцев, 36</a:t>
            </a:r>
            <a:r>
              <a:rPr lang="en-US" sz="1100" b="0" i="0" baseline="0">
                <a:solidFill>
                  <a:schemeClr val="dk1"/>
                </a:solidFill>
                <a:effectLst/>
                <a:latin typeface="+mn-lt"/>
                <a:ea typeface="+mn-ea"/>
                <a:cs typeface="+mn-cs"/>
              </a:rPr>
              <a:t>M </a:t>
            </a:r>
            <a:r>
              <a:rPr lang="ru-RU" sz="1100" b="0" i="0" baseline="0">
                <a:solidFill>
                  <a:schemeClr val="dk1"/>
                </a:solidFill>
                <a:effectLst/>
                <a:latin typeface="+mn-lt"/>
                <a:ea typeface="+mn-ea"/>
                <a:cs typeface="+mn-cs"/>
              </a:rPr>
              <a:t>–</a:t>
            </a:r>
            <a:r>
              <a:rPr lang="en-US" sz="1100" b="0" i="0" baseline="0">
                <a:solidFill>
                  <a:schemeClr val="dk1"/>
                </a:solidFill>
                <a:effectLst/>
                <a:latin typeface="+mn-lt"/>
                <a:ea typeface="+mn-ea"/>
                <a:cs typeface="+mn-cs"/>
              </a:rPr>
              <a:t> </a:t>
            </a:r>
            <a:r>
              <a:rPr lang="ru-RU" sz="1100" b="0" i="0" baseline="0">
                <a:solidFill>
                  <a:schemeClr val="dk1"/>
                </a:solidFill>
                <a:effectLst/>
                <a:latin typeface="+mn-lt"/>
                <a:ea typeface="+mn-ea"/>
                <a:cs typeface="+mn-cs"/>
              </a:rPr>
              <a:t>36 месяцев.</a:t>
            </a:r>
            <a:endParaRPr lang="ru-RU" sz="1100" b="0" i="0" u="none" strike="noStrike" baseline="0">
              <a:solidFill>
                <a:schemeClr val="dk1"/>
              </a:solidFill>
              <a:latin typeface="+mn-lt"/>
              <a:ea typeface="+mn-ea"/>
              <a:cs typeface="Arial" panose="020B0604020202020204" pitchFamily="34" charset="0"/>
            </a:endParaRPr>
          </a:p>
          <a:p>
            <a:r>
              <a:rPr lang="ru-RU" sz="1100" b="0" i="0" u="none" strike="noStrike" baseline="0">
                <a:solidFill>
                  <a:schemeClr val="dk1"/>
                </a:solidFill>
                <a:latin typeface="+mn-lt"/>
                <a:ea typeface="+mn-ea"/>
                <a:cs typeface="Arial" panose="020B0604020202020204" pitchFamily="34" charset="0"/>
              </a:rPr>
              <a:t>** </a:t>
            </a:r>
            <a:r>
              <a:rPr lang="ru-RU" sz="1100" b="0" i="0">
                <a:solidFill>
                  <a:schemeClr val="dk1"/>
                </a:solidFill>
                <a:effectLst/>
                <a:latin typeface="+mn-lt"/>
                <a:ea typeface="+mn-ea"/>
                <a:cs typeface="+mn-cs"/>
              </a:rPr>
              <a:t>Модуль СОВ (система обнаружения вторжений уровня хоста) расширен дополнительным функционалом</a:t>
            </a:r>
            <a:r>
              <a:rPr lang="ru-RU" sz="1100" b="1" i="0">
                <a:solidFill>
                  <a:schemeClr val="dk1"/>
                </a:solidFill>
                <a:effectLst/>
                <a:latin typeface="+mn-lt"/>
                <a:ea typeface="+mn-ea"/>
                <a:cs typeface="+mn-cs"/>
              </a:rPr>
              <a:t> </a:t>
            </a:r>
            <a:r>
              <a:rPr lang="ru-RU" sz="1100" b="0" i="0">
                <a:solidFill>
                  <a:schemeClr val="dk1"/>
                </a:solidFill>
                <a:effectLst/>
                <a:latin typeface="+mn-lt"/>
                <a:ea typeface="+mn-ea"/>
                <a:cs typeface="+mn-cs"/>
              </a:rPr>
              <a:t>Система обнаружения и реагирования (СОР)</a:t>
            </a:r>
          </a:p>
          <a:p>
            <a:r>
              <a:rPr lang="ru-RU" sz="1100" b="0" i="0" u="none" strike="noStrike" baseline="0">
                <a:solidFill>
                  <a:schemeClr val="dk1"/>
                </a:solidFill>
                <a:latin typeface="+mn-lt"/>
                <a:ea typeface="+mn-ea"/>
                <a:cs typeface="Arial" panose="020B0604020202020204" pitchFamily="34" charset="0"/>
              </a:rPr>
              <a:t>*** На основании статьи № 149 п. 2 пп. 26 НК РФ стоимость передаваемых неисключительных прав на используемое программное обеспечение не облагается НДС.</a:t>
            </a:r>
          </a:p>
          <a:p>
            <a:r>
              <a:rPr lang="ru-RU" sz="1100" b="0" i="0" u="none" strike="noStrike" baseline="0">
                <a:solidFill>
                  <a:schemeClr val="dk1"/>
                </a:solidFill>
                <a:latin typeface="+mn-lt"/>
                <a:ea typeface="+mn-ea"/>
                <a:cs typeface="Arial" panose="020B0604020202020204" pitchFamily="34" charset="0"/>
              </a:rPr>
              <a:t>**</a:t>
            </a:r>
            <a:r>
              <a:rPr lang="en-US" sz="1100" b="0" i="0" u="none" strike="noStrike" baseline="0">
                <a:solidFill>
                  <a:schemeClr val="dk1"/>
                </a:solidFill>
                <a:latin typeface="+mn-lt"/>
                <a:ea typeface="+mn-ea"/>
                <a:cs typeface="Arial" panose="020B0604020202020204" pitchFamily="34" charset="0"/>
              </a:rPr>
              <a:t>*</a:t>
            </a:r>
            <a:r>
              <a:rPr lang="ru-RU" sz="1100" b="0" i="0" u="none" strike="noStrike" baseline="0">
                <a:solidFill>
                  <a:schemeClr val="dk1"/>
                </a:solidFill>
                <a:latin typeface="+mn-lt"/>
                <a:ea typeface="+mn-ea"/>
                <a:cs typeface="Arial" panose="020B0604020202020204" pitchFamily="34" charset="0"/>
              </a:rPr>
              <a:t>* В стоимость входит НДС 2</a:t>
            </a:r>
            <a:r>
              <a:rPr lang="en-US" sz="1100" b="0" i="0" u="none" strike="noStrike" baseline="0">
                <a:solidFill>
                  <a:schemeClr val="dk1"/>
                </a:solidFill>
                <a:latin typeface="+mn-lt"/>
                <a:ea typeface="+mn-ea"/>
                <a:cs typeface="Arial" panose="020B0604020202020204" pitchFamily="34" charset="0"/>
              </a:rPr>
              <a:t>2</a:t>
            </a:r>
            <a:r>
              <a:rPr lang="ru-RU" sz="1100" b="0" i="0" u="none" strike="noStrike" baseline="0">
                <a:solidFill>
                  <a:schemeClr val="dk1"/>
                </a:solidFill>
                <a:latin typeface="+mn-lt"/>
                <a:ea typeface="+mn-ea"/>
                <a:cs typeface="Arial" panose="020B0604020202020204" pitchFamily="34" charset="0"/>
              </a:rPr>
              <a:t>%.</a:t>
            </a:r>
          </a:p>
        </xdr:txBody>
      </xdr:sp>
      <xdr:cxnSp macro="">
        <xdr:nvCxnSpPr>
          <xdr:cNvPr id="6" name="Прямая соединительная линия 5">
            <a:extLst>
              <a:ext uri="{FF2B5EF4-FFF2-40B4-BE49-F238E27FC236}">
                <a16:creationId xmlns:a16="http://schemas.microsoft.com/office/drawing/2014/main" xmlns="" id="{00000000-0008-0000-0300-000006000000}"/>
              </a:ext>
            </a:extLst>
          </xdr:cNvPr>
          <xdr:cNvCxnSpPr/>
        </xdr:nvCxnSpPr>
        <xdr:spPr>
          <a:xfrm flipV="1">
            <a:off x="82902" y="15058522"/>
            <a:ext cx="13183292" cy="6467"/>
          </a:xfrm>
          <a:prstGeom prst="line">
            <a:avLst/>
          </a:prstGeom>
        </xdr:spPr>
        <xdr:style>
          <a:lnRef idx="1">
            <a:schemeClr val="dk1"/>
          </a:lnRef>
          <a:fillRef idx="0">
            <a:schemeClr val="dk1"/>
          </a:fillRef>
          <a:effectRef idx="0">
            <a:schemeClr val="dk1"/>
          </a:effectRef>
          <a:fontRef idx="minor">
            <a:schemeClr val="tx1"/>
          </a:fontRef>
        </xdr:style>
      </xdr:cxnSp>
    </xdr:grpSp>
    <xdr:clientData/>
  </xdr:twoCellAnchor>
  <xdr:twoCellAnchor editAs="oneCell">
    <xdr:from>
      <xdr:col>4</xdr:col>
      <xdr:colOff>667621</xdr:colOff>
      <xdr:row>2</xdr:row>
      <xdr:rowOff>114798</xdr:rowOff>
    </xdr:from>
    <xdr:to>
      <xdr:col>5</xdr:col>
      <xdr:colOff>2480</xdr:colOff>
      <xdr:row>2</xdr:row>
      <xdr:rowOff>300557</xdr:rowOff>
    </xdr:to>
    <xdr:pic>
      <xdr:nvPicPr>
        <xdr:cNvPr id="8" name="Рисунок 7">
          <a:extLst>
            <a:ext uri="{FF2B5EF4-FFF2-40B4-BE49-F238E27FC236}">
              <a16:creationId xmlns:a16="http://schemas.microsoft.com/office/drawing/2014/main" xmlns="" id="{00000000-0008-0000-0300-000008000000}"/>
            </a:ext>
          </a:extLst>
        </xdr:cNvPr>
        <xdr:cNvPicPr>
          <a:picLocks noChangeAspect="1"/>
        </xdr:cNvPicPr>
      </xdr:nvPicPr>
      <xdr:blipFill>
        <a:blip xmlns:r="http://schemas.openxmlformats.org/officeDocument/2006/relationships" r:embed="rId1">
          <a:clrChange>
            <a:clrFrom>
              <a:srgbClr val="FFFFFF"/>
            </a:clrFrom>
            <a:clrTo>
              <a:srgbClr val="FFFFFF">
                <a:alpha val="0"/>
              </a:srgbClr>
            </a:clrTo>
          </a:clrChange>
        </a:blip>
        <a:stretch>
          <a:fillRect/>
        </a:stretch>
      </xdr:blipFill>
      <xdr:spPr>
        <a:xfrm>
          <a:off x="8008221" y="1486398"/>
          <a:ext cx="185759" cy="185759"/>
        </a:xfrm>
        <a:prstGeom prst="rect">
          <a:avLst/>
        </a:prstGeom>
      </xdr:spPr>
    </xdr:pic>
    <xdr:clientData/>
  </xdr:twoCellAnchor>
  <xdr:twoCellAnchor>
    <xdr:from>
      <xdr:col>0</xdr:col>
      <xdr:colOff>0</xdr:colOff>
      <xdr:row>1</xdr:row>
      <xdr:rowOff>1159934</xdr:rowOff>
    </xdr:from>
    <xdr:to>
      <xdr:col>13</xdr:col>
      <xdr:colOff>0</xdr:colOff>
      <xdr:row>2</xdr:row>
      <xdr:rowOff>369546</xdr:rowOff>
    </xdr:to>
    <xdr:sp macro="" textlink="">
      <xdr:nvSpPr>
        <xdr:cNvPr id="9" name="Прямоугольник 8">
          <a:hlinkClick xmlns:r="http://schemas.openxmlformats.org/officeDocument/2006/relationships" r:id="rId2"/>
          <a:extLst>
            <a:ext uri="{FF2B5EF4-FFF2-40B4-BE49-F238E27FC236}">
              <a16:creationId xmlns:a16="http://schemas.microsoft.com/office/drawing/2014/main" xmlns="" id="{00000000-0008-0000-0300-000009000000}"/>
            </a:ext>
          </a:extLst>
        </xdr:cNvPr>
        <xdr:cNvSpPr/>
      </xdr:nvSpPr>
      <xdr:spPr>
        <a:xfrm>
          <a:off x="0" y="1346201"/>
          <a:ext cx="14240933" cy="39494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editAs="oneCell">
    <xdr:from>
      <xdr:col>0</xdr:col>
      <xdr:colOff>0</xdr:colOff>
      <xdr:row>0</xdr:row>
      <xdr:rowOff>0</xdr:rowOff>
    </xdr:from>
    <xdr:to>
      <xdr:col>12</xdr:col>
      <xdr:colOff>42334</xdr:colOff>
      <xdr:row>2</xdr:row>
      <xdr:rowOff>2116</xdr:rowOff>
    </xdr:to>
    <xdr:pic>
      <xdr:nvPicPr>
        <xdr:cNvPr id="10" name="Рисунок 9">
          <a:hlinkClick xmlns:r="http://schemas.openxmlformats.org/officeDocument/2006/relationships" r:id="rId3"/>
          <a:extLst>
            <a:ext uri="{FF2B5EF4-FFF2-40B4-BE49-F238E27FC236}">
              <a16:creationId xmlns:a16="http://schemas.microsoft.com/office/drawing/2014/main" xmlns="" id="{00000000-0008-0000-0300-00000A000000}"/>
            </a:ext>
          </a:extLst>
        </xdr:cNvPr>
        <xdr:cNvPicPr>
          <a:picLocks noChangeAspect="1"/>
        </xdr:cNvPicPr>
      </xdr:nvPicPr>
      <xdr:blipFill>
        <a:blip xmlns:r="http://schemas.openxmlformats.org/officeDocument/2006/relationships" r:embed="rId4"/>
        <a:stretch>
          <a:fillRect/>
        </a:stretch>
      </xdr:blipFill>
      <xdr:spPr>
        <a:xfrm>
          <a:off x="0" y="0"/>
          <a:ext cx="14207067" cy="1363133"/>
        </a:xfrm>
        <a:prstGeom prst="rect">
          <a:avLst/>
        </a:prstGeom>
      </xdr:spPr>
    </xdr:pic>
    <xdr:clientData/>
  </xdr:twoCellAnchor>
  <xdr:twoCellAnchor editAs="oneCell">
    <xdr:from>
      <xdr:col>1</xdr:col>
      <xdr:colOff>29634</xdr:colOff>
      <xdr:row>43</xdr:row>
      <xdr:rowOff>112644</xdr:rowOff>
    </xdr:from>
    <xdr:to>
      <xdr:col>13</xdr:col>
      <xdr:colOff>39159</xdr:colOff>
      <xdr:row>46</xdr:row>
      <xdr:rowOff>88261</xdr:rowOff>
    </xdr:to>
    <xdr:pic>
      <xdr:nvPicPr>
        <xdr:cNvPr id="12" name="Рисунок 11">
          <a:extLst>
            <a:ext uri="{FF2B5EF4-FFF2-40B4-BE49-F238E27FC236}">
              <a16:creationId xmlns:a16="http://schemas.microsoft.com/office/drawing/2014/main" xmlns="" id="{00000000-0008-0000-0300-00000C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15359" y="18010119"/>
          <a:ext cx="13839825" cy="547117"/>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xdr:col>
          <xdr:colOff>3743325</xdr:colOff>
          <xdr:row>20</xdr:row>
          <xdr:rowOff>104775</xdr:rowOff>
        </xdr:from>
        <xdr:to>
          <xdr:col>2</xdr:col>
          <xdr:colOff>3924300</xdr:colOff>
          <xdr:row>21</xdr:row>
          <xdr:rowOff>180975</xdr:rowOff>
        </xdr:to>
        <xdr:sp macro="" textlink="">
          <xdr:nvSpPr>
            <xdr:cNvPr id="39939" name="Check Box 3" hidden="1">
              <a:extLst>
                <a:ext uri="{63B3BB69-23CF-44E3-9099-C40C66FF867C}">
                  <a14:compatExt spid="_x0000_s39939"/>
                </a:ext>
                <a:ext uri="{FF2B5EF4-FFF2-40B4-BE49-F238E27FC236}">
                  <a16:creationId xmlns:a16="http://schemas.microsoft.com/office/drawing/2014/main" xmlns="" id="{00000000-0008-0000-0300-000003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666750</xdr:colOff>
          <xdr:row>20</xdr:row>
          <xdr:rowOff>104775</xdr:rowOff>
        </xdr:from>
        <xdr:to>
          <xdr:col>10</xdr:col>
          <xdr:colOff>19050</xdr:colOff>
          <xdr:row>21</xdr:row>
          <xdr:rowOff>180975</xdr:rowOff>
        </xdr:to>
        <xdr:sp macro="" textlink="">
          <xdr:nvSpPr>
            <xdr:cNvPr id="39940" name="Check Box 4" hidden="1">
              <a:extLst>
                <a:ext uri="{63B3BB69-23CF-44E3-9099-C40C66FF867C}">
                  <a14:compatExt spid="_x0000_s39940"/>
                </a:ext>
                <a:ext uri="{FF2B5EF4-FFF2-40B4-BE49-F238E27FC236}">
                  <a16:creationId xmlns:a16="http://schemas.microsoft.com/office/drawing/2014/main" xmlns="" id="{00000000-0008-0000-0300-000004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0</xdr:colOff>
      <xdr:row>22</xdr:row>
      <xdr:rowOff>518583</xdr:rowOff>
    </xdr:from>
    <xdr:to>
      <xdr:col>3</xdr:col>
      <xdr:colOff>179915</xdr:colOff>
      <xdr:row>24</xdr:row>
      <xdr:rowOff>52915</xdr:rowOff>
    </xdr:to>
    <xdr:sp macro="" textlink="">
      <xdr:nvSpPr>
        <xdr:cNvPr id="15" name="Прямоугольник 14">
          <a:hlinkClick xmlns:r="http://schemas.openxmlformats.org/officeDocument/2006/relationships" r:id="rId6"/>
          <a:extLst>
            <a:ext uri="{FF2B5EF4-FFF2-40B4-BE49-F238E27FC236}">
              <a16:creationId xmlns:a16="http://schemas.microsoft.com/office/drawing/2014/main" xmlns="" id="{00000000-0008-0000-0300-00000F000000}"/>
            </a:ext>
          </a:extLst>
        </xdr:cNvPr>
        <xdr:cNvSpPr/>
      </xdr:nvSpPr>
      <xdr:spPr>
        <a:xfrm>
          <a:off x="0" y="8527203"/>
          <a:ext cx="6809315" cy="26585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1">
              <a:latin typeface="+mn-lt"/>
              <a:cs typeface="Arial" panose="020B0604020202020204" pitchFamily="34" charset="0"/>
            </a:rPr>
            <a:t>*</a:t>
          </a:r>
          <a:r>
            <a:rPr lang="ru-RU" sz="1100" b="1">
              <a:latin typeface="+mn-lt"/>
              <a:cs typeface="Arial" panose="020B0604020202020204" pitchFamily="34" charset="0"/>
            </a:rPr>
            <a:t>БОЛЕЕ ПОЛНЫЙ СПИСОК ВАРИАНТОВ ЕЦУ ВО ВКЛАДКЕ ЕЦУ</a:t>
          </a:r>
          <a:r>
            <a:rPr lang="ru-RU" sz="1100" b="1" baseline="0">
              <a:latin typeface="+mn-lt"/>
              <a:cs typeface="Arial" panose="020B0604020202020204" pitchFamily="34" charset="0"/>
            </a:rPr>
            <a:t> </a:t>
          </a:r>
          <a:r>
            <a:rPr lang="en-US" sz="1100" b="1" baseline="0">
              <a:latin typeface="+mn-lt"/>
              <a:cs typeface="Arial" panose="020B0604020202020204" pitchFamily="34" charset="0"/>
            </a:rPr>
            <a:t>DALLAS LOCK      </a:t>
          </a:r>
          <a:r>
            <a:rPr lang="en-US" sz="1100" b="1">
              <a:latin typeface="+mn-lt"/>
              <a:cs typeface="Arial" panose="020B0604020202020204" pitchFamily="34" charset="0"/>
            </a:rPr>
            <a:t>&gt;&gt;</a:t>
          </a:r>
          <a:endParaRPr lang="ru-RU" sz="1100" b="1">
            <a:latin typeface="+mn-lt"/>
            <a:cs typeface="Arial" panose="020B0604020202020204" pitchFamily="34" charset="0"/>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12</xdr:row>
          <xdr:rowOff>47625</xdr:rowOff>
        </xdr:from>
        <xdr:to>
          <xdr:col>1</xdr:col>
          <xdr:colOff>276225</xdr:colOff>
          <xdr:row>12</xdr:row>
          <xdr:rowOff>438150</xdr:rowOff>
        </xdr:to>
        <xdr:sp macro="" textlink="">
          <xdr:nvSpPr>
            <xdr:cNvPr id="39942" name="Check Box 6" hidden="1">
              <a:extLst>
                <a:ext uri="{63B3BB69-23CF-44E3-9099-C40C66FF867C}">
                  <a14:compatExt spid="_x0000_s39942"/>
                </a:ext>
                <a:ext uri="{FF2B5EF4-FFF2-40B4-BE49-F238E27FC236}">
                  <a16:creationId xmlns:a16="http://schemas.microsoft.com/office/drawing/2014/main" xmlns="" id="{00000000-0008-0000-0300-000006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13</xdr:row>
          <xdr:rowOff>180975</xdr:rowOff>
        </xdr:from>
        <xdr:to>
          <xdr:col>1</xdr:col>
          <xdr:colOff>276225</xdr:colOff>
          <xdr:row>13</xdr:row>
          <xdr:rowOff>561975</xdr:rowOff>
        </xdr:to>
        <xdr:sp macro="" textlink="">
          <xdr:nvSpPr>
            <xdr:cNvPr id="39947" name="Check Box 11" hidden="1">
              <a:extLst>
                <a:ext uri="{63B3BB69-23CF-44E3-9099-C40C66FF867C}">
                  <a14:compatExt spid="_x0000_s39947"/>
                </a:ext>
                <a:ext uri="{FF2B5EF4-FFF2-40B4-BE49-F238E27FC236}">
                  <a16:creationId xmlns:a16="http://schemas.microsoft.com/office/drawing/2014/main" xmlns="" id="{00000000-0008-0000-0300-00000B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210847</xdr:colOff>
      <xdr:row>8</xdr:row>
      <xdr:rowOff>0</xdr:rowOff>
    </xdr:from>
    <xdr:to>
      <xdr:col>1</xdr:col>
      <xdr:colOff>211667</xdr:colOff>
      <xdr:row>9</xdr:row>
      <xdr:rowOff>702733</xdr:rowOff>
    </xdr:to>
    <xdr:cxnSp macro="">
      <xdr:nvCxnSpPr>
        <xdr:cNvPr id="29" name="Прямая соединительная линия 28">
          <a:extLst>
            <a:ext uri="{FF2B5EF4-FFF2-40B4-BE49-F238E27FC236}">
              <a16:creationId xmlns:a16="http://schemas.microsoft.com/office/drawing/2014/main" xmlns="" id="{00000000-0008-0000-0300-00001D000000}"/>
            </a:ext>
          </a:extLst>
        </xdr:cNvPr>
        <xdr:cNvCxnSpPr/>
      </xdr:nvCxnSpPr>
      <xdr:spPr>
        <a:xfrm>
          <a:off x="303980" y="3293533"/>
          <a:ext cx="820" cy="1219200"/>
        </a:xfrm>
        <a:prstGeom prst="line">
          <a:avLst/>
        </a:prstGeom>
        <a:ln w="19050">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1</xdr:col>
          <xdr:colOff>95250</xdr:colOff>
          <xdr:row>8</xdr:row>
          <xdr:rowOff>57150</xdr:rowOff>
        </xdr:from>
        <xdr:to>
          <xdr:col>1</xdr:col>
          <xdr:colOff>285750</xdr:colOff>
          <xdr:row>8</xdr:row>
          <xdr:rowOff>438150</xdr:rowOff>
        </xdr:to>
        <xdr:sp macro="" textlink="">
          <xdr:nvSpPr>
            <xdr:cNvPr id="39951" name="Check Box 15" hidden="1">
              <a:extLst>
                <a:ext uri="{63B3BB69-23CF-44E3-9099-C40C66FF867C}">
                  <a14:compatExt spid="_x0000_s39951"/>
                </a:ext>
                <a:ext uri="{FF2B5EF4-FFF2-40B4-BE49-F238E27FC236}">
                  <a16:creationId xmlns:a16="http://schemas.microsoft.com/office/drawing/2014/main" xmlns="" id="{00000000-0008-0000-0300-00000F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9</xdr:row>
          <xdr:rowOff>161925</xdr:rowOff>
        </xdr:from>
        <xdr:to>
          <xdr:col>1</xdr:col>
          <xdr:colOff>295275</xdr:colOff>
          <xdr:row>9</xdr:row>
          <xdr:rowOff>542925</xdr:rowOff>
        </xdr:to>
        <xdr:sp macro="" textlink="">
          <xdr:nvSpPr>
            <xdr:cNvPr id="39952" name="Check Box 16" hidden="1">
              <a:extLst>
                <a:ext uri="{63B3BB69-23CF-44E3-9099-C40C66FF867C}">
                  <a14:compatExt spid="_x0000_s39952"/>
                </a:ext>
                <a:ext uri="{FF2B5EF4-FFF2-40B4-BE49-F238E27FC236}">
                  <a16:creationId xmlns:a16="http://schemas.microsoft.com/office/drawing/2014/main" xmlns="" id="{00000000-0008-0000-0300-000010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26459</xdr:colOff>
      <xdr:row>46</xdr:row>
      <xdr:rowOff>160866</xdr:rowOff>
    </xdr:from>
    <xdr:to>
      <xdr:col>13</xdr:col>
      <xdr:colOff>38101</xdr:colOff>
      <xdr:row>50</xdr:row>
      <xdr:rowOff>182032</xdr:rowOff>
    </xdr:to>
    <xdr:pic>
      <xdr:nvPicPr>
        <xdr:cNvPr id="11" name="Рисунок 10">
          <a:extLst>
            <a:ext uri="{FF2B5EF4-FFF2-40B4-BE49-F238E27FC236}">
              <a16:creationId xmlns:a16="http://schemas.microsoft.com/office/drawing/2014/main" xmlns="" id="{00000000-0008-0000-0300-00000B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2184" y="18629841"/>
          <a:ext cx="13841942" cy="783166"/>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xdr:col>
          <xdr:colOff>3762375</xdr:colOff>
          <xdr:row>5</xdr:row>
          <xdr:rowOff>76200</xdr:rowOff>
        </xdr:from>
        <xdr:to>
          <xdr:col>2</xdr:col>
          <xdr:colOff>3914775</xdr:colOff>
          <xdr:row>7</xdr:row>
          <xdr:rowOff>38100</xdr:rowOff>
        </xdr:to>
        <xdr:sp macro="" textlink="">
          <xdr:nvSpPr>
            <xdr:cNvPr id="39956" name="Check Box 20" hidden="1">
              <a:extLst>
                <a:ext uri="{63B3BB69-23CF-44E3-9099-C40C66FF867C}">
                  <a14:compatExt spid="_x0000_s39956"/>
                </a:ext>
                <a:ext uri="{FF2B5EF4-FFF2-40B4-BE49-F238E27FC236}">
                  <a16:creationId xmlns:a16="http://schemas.microsoft.com/office/drawing/2014/main" xmlns="" id="{00000000-0008-0000-0300-000014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666750</xdr:colOff>
          <xdr:row>5</xdr:row>
          <xdr:rowOff>95250</xdr:rowOff>
        </xdr:from>
        <xdr:to>
          <xdr:col>10</xdr:col>
          <xdr:colOff>66675</xdr:colOff>
          <xdr:row>7</xdr:row>
          <xdr:rowOff>19050</xdr:rowOff>
        </xdr:to>
        <xdr:sp macro="" textlink="">
          <xdr:nvSpPr>
            <xdr:cNvPr id="39957" name="Check Box 21" hidden="1">
              <a:extLst>
                <a:ext uri="{63B3BB69-23CF-44E3-9099-C40C66FF867C}">
                  <a14:compatExt spid="_x0000_s39957"/>
                </a:ext>
                <a:ext uri="{FF2B5EF4-FFF2-40B4-BE49-F238E27FC236}">
                  <a16:creationId xmlns:a16="http://schemas.microsoft.com/office/drawing/2014/main" xmlns="" id="{00000000-0008-0000-0300-000015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1</xdr:colOff>
      <xdr:row>24</xdr:row>
      <xdr:rowOff>8466</xdr:rowOff>
    </xdr:from>
    <xdr:to>
      <xdr:col>13</xdr:col>
      <xdr:colOff>0</xdr:colOff>
      <xdr:row>25</xdr:row>
      <xdr:rowOff>50800</xdr:rowOff>
    </xdr:to>
    <xdr:pic>
      <xdr:nvPicPr>
        <xdr:cNvPr id="13" name="Рисунок 12">
          <a:extLst>
            <a:ext uri="{FF2B5EF4-FFF2-40B4-BE49-F238E27FC236}">
              <a16:creationId xmlns:a16="http://schemas.microsoft.com/office/drawing/2014/main" xmlns="" id="{00000000-0008-0000-0300-00000D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 y="9469966"/>
          <a:ext cx="14249399" cy="867834"/>
        </a:xfrm>
        <a:prstGeom prst="rect">
          <a:avLst/>
        </a:prstGeom>
      </xdr:spPr>
    </xdr:pic>
    <xdr:clientData/>
  </xdr:twoCellAnchor>
  <xdr:twoCellAnchor>
    <xdr:from>
      <xdr:col>1</xdr:col>
      <xdr:colOff>194179</xdr:colOff>
      <xdr:row>12</xdr:row>
      <xdr:rowOff>9525</xdr:rowOff>
    </xdr:from>
    <xdr:to>
      <xdr:col>1</xdr:col>
      <xdr:colOff>194179</xdr:colOff>
      <xdr:row>14</xdr:row>
      <xdr:rowOff>0</xdr:rowOff>
    </xdr:to>
    <xdr:cxnSp macro="">
      <xdr:nvCxnSpPr>
        <xdr:cNvPr id="26" name="Прямая соединительная линия 25">
          <a:extLst>
            <a:ext uri="{FF2B5EF4-FFF2-40B4-BE49-F238E27FC236}">
              <a16:creationId xmlns:a16="http://schemas.microsoft.com/office/drawing/2014/main" xmlns="" id="{00000000-0008-0000-0300-00001A000000}"/>
            </a:ext>
          </a:extLst>
        </xdr:cNvPr>
        <xdr:cNvCxnSpPr/>
      </xdr:nvCxnSpPr>
      <xdr:spPr>
        <a:xfrm>
          <a:off x="279904" y="5667375"/>
          <a:ext cx="0" cy="1257300"/>
        </a:xfrm>
        <a:prstGeom prst="line">
          <a:avLst/>
        </a:prstGeom>
        <a:ln w="19050">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1</xdr:col>
          <xdr:colOff>85725</xdr:colOff>
          <xdr:row>12</xdr:row>
          <xdr:rowOff>47625</xdr:rowOff>
        </xdr:from>
        <xdr:to>
          <xdr:col>1</xdr:col>
          <xdr:colOff>276225</xdr:colOff>
          <xdr:row>12</xdr:row>
          <xdr:rowOff>438150</xdr:rowOff>
        </xdr:to>
        <xdr:sp macro="" textlink="">
          <xdr:nvSpPr>
            <xdr:cNvPr id="39958" name="Check Box 22" hidden="1">
              <a:extLst>
                <a:ext uri="{63B3BB69-23CF-44E3-9099-C40C66FF867C}">
                  <a14:compatExt spid="_x0000_s39958"/>
                </a:ext>
                <a:ext uri="{FF2B5EF4-FFF2-40B4-BE49-F238E27FC236}">
                  <a16:creationId xmlns:a16="http://schemas.microsoft.com/office/drawing/2014/main" xmlns="" id="{00000000-0008-0000-0300-000016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13</xdr:row>
          <xdr:rowOff>180975</xdr:rowOff>
        </xdr:from>
        <xdr:to>
          <xdr:col>1</xdr:col>
          <xdr:colOff>276225</xdr:colOff>
          <xdr:row>13</xdr:row>
          <xdr:rowOff>561975</xdr:rowOff>
        </xdr:to>
        <xdr:sp macro="" textlink="">
          <xdr:nvSpPr>
            <xdr:cNvPr id="39959" name="Check Box 23" hidden="1">
              <a:extLst>
                <a:ext uri="{63B3BB69-23CF-44E3-9099-C40C66FF867C}">
                  <a14:compatExt spid="_x0000_s39959"/>
                </a:ext>
                <a:ext uri="{FF2B5EF4-FFF2-40B4-BE49-F238E27FC236}">
                  <a16:creationId xmlns:a16="http://schemas.microsoft.com/office/drawing/2014/main" xmlns="" id="{00000000-0008-0000-0300-000017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28575</xdr:colOff>
      <xdr:row>36</xdr:row>
      <xdr:rowOff>393109</xdr:rowOff>
    </xdr:from>
    <xdr:to>
      <xdr:col>13</xdr:col>
      <xdr:colOff>47625</xdr:colOff>
      <xdr:row>43</xdr:row>
      <xdr:rowOff>20388</xdr:rowOff>
    </xdr:to>
    <xdr:pic>
      <xdr:nvPicPr>
        <xdr:cNvPr id="14" name="Рисунок 13">
          <a:extLst>
            <a:ext uri="{FF2B5EF4-FFF2-40B4-BE49-F238E27FC236}">
              <a16:creationId xmlns:a16="http://schemas.microsoft.com/office/drawing/2014/main" xmlns="" id="{00000000-0008-0000-0300-00000E00000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xdr:blipFill>
      <xdr:spPr>
        <a:xfrm>
          <a:off x="114300" y="16290334"/>
          <a:ext cx="13849350" cy="162752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24342</xdr:colOff>
      <xdr:row>37</xdr:row>
      <xdr:rowOff>64815</xdr:rowOff>
    </xdr:from>
    <xdr:to>
      <xdr:col>3</xdr:col>
      <xdr:colOff>35547</xdr:colOff>
      <xdr:row>54</xdr:row>
      <xdr:rowOff>114299</xdr:rowOff>
    </xdr:to>
    <xdr:sp macro="" textlink="">
      <xdr:nvSpPr>
        <xdr:cNvPr id="3" name="TextBox 2">
          <a:extLst>
            <a:ext uri="{FF2B5EF4-FFF2-40B4-BE49-F238E27FC236}">
              <a16:creationId xmlns:a16="http://schemas.microsoft.com/office/drawing/2014/main" xmlns="" id="{00000000-0008-0000-0400-000003000000}"/>
            </a:ext>
          </a:extLst>
        </xdr:cNvPr>
        <xdr:cNvSpPr txBox="1"/>
      </xdr:nvSpPr>
      <xdr:spPr>
        <a:xfrm>
          <a:off x="24342" y="14133240"/>
          <a:ext cx="6507255" cy="495485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ru-RU" sz="1100" b="1">
              <a:solidFill>
                <a:schemeClr val="dk1"/>
              </a:solidFill>
              <a:effectLst/>
              <a:latin typeface="+mn-lt"/>
              <a:ea typeface="+mn-ea"/>
              <a:cs typeface="+mn-cs"/>
            </a:rPr>
            <a:t>Dallas Lock Linux. Модули</a:t>
          </a:r>
          <a:endParaRPr lang="ru-RU">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ru-RU" sz="1100">
              <a:solidFill>
                <a:schemeClr val="dk1"/>
              </a:solidFill>
              <a:effectLst/>
              <a:latin typeface="+mn-lt"/>
              <a:ea typeface="+mn-ea"/>
              <a:cs typeface="+mn-cs"/>
            </a:rPr>
            <a:t>Комплект отдельных модулей</a:t>
          </a:r>
          <a:r>
            <a:rPr lang="en-US" sz="1100">
              <a:solidFill>
                <a:schemeClr val="dk1"/>
              </a:solidFill>
              <a:effectLst/>
              <a:latin typeface="+mn-lt"/>
              <a:ea typeface="+mn-ea"/>
              <a:cs typeface="+mn-cs"/>
            </a:rPr>
            <a:t>.</a:t>
          </a:r>
          <a:r>
            <a:rPr lang="en-US" sz="1100" baseline="0">
              <a:solidFill>
                <a:schemeClr val="dk1"/>
              </a:solidFill>
              <a:effectLst/>
              <a:latin typeface="+mn-lt"/>
              <a:ea typeface="+mn-ea"/>
              <a:cs typeface="+mn-cs"/>
            </a:rPr>
            <a:t> </a:t>
          </a:r>
          <a:r>
            <a:rPr lang="ru-RU" sz="1100" baseline="0">
              <a:solidFill>
                <a:schemeClr val="dk1"/>
              </a:solidFill>
              <a:effectLst/>
              <a:latin typeface="+mn-lt"/>
              <a:ea typeface="+mn-ea"/>
              <a:cs typeface="+mn-cs"/>
            </a:rPr>
            <a:t>Поставляется исключительно в рамках технолического сотрудничества для сертифицированных </a:t>
          </a:r>
          <a:r>
            <a:rPr lang="ru-RU" sz="1100" b="0" i="0" baseline="0">
              <a:solidFill>
                <a:schemeClr val="dk1"/>
              </a:solidFill>
              <a:effectLst/>
              <a:latin typeface="+mn-lt"/>
              <a:ea typeface="+mn-ea"/>
              <a:cs typeface="+mn-cs"/>
            </a:rPr>
            <a:t>ОС </a:t>
          </a:r>
          <a:r>
            <a:rPr lang="en-US" sz="1100" b="0" i="0" baseline="0">
              <a:solidFill>
                <a:schemeClr val="dk1"/>
              </a:solidFill>
              <a:effectLst/>
              <a:latin typeface="+mn-lt"/>
              <a:ea typeface="+mn-ea"/>
              <a:cs typeface="+mn-cs"/>
            </a:rPr>
            <a:t>Linux</a:t>
          </a:r>
          <a:r>
            <a:rPr lang="ru-RU" sz="1100" b="0" i="0" baseline="0">
              <a:solidFill>
                <a:schemeClr val="dk1"/>
              </a:solidFill>
              <a:effectLst/>
              <a:latin typeface="+mn-lt"/>
              <a:ea typeface="+mn-ea"/>
              <a:cs typeface="+mn-cs"/>
            </a:rPr>
            <a:t>.</a:t>
          </a:r>
        </a:p>
        <a:p>
          <a:pPr marL="0" marR="0" lvl="0" indent="0" defTabSz="914400" eaLnBrk="1" fontAlgn="auto" latinLnBrk="0" hangingPunct="1">
            <a:lnSpc>
              <a:spcPct val="100000"/>
            </a:lnSpc>
            <a:spcBef>
              <a:spcPts val="0"/>
            </a:spcBef>
            <a:spcAft>
              <a:spcPts val="0"/>
            </a:spcAft>
            <a:buClrTx/>
            <a:buSzTx/>
            <a:buFontTx/>
            <a:buNone/>
            <a:tabLst/>
            <a:defRPr/>
          </a:pPr>
          <a:endParaRPr lang="ru-RU" sz="1100" b="1">
            <a:solidFill>
              <a:schemeClr val="dk1"/>
            </a:solidFill>
            <a:effectLst/>
            <a:latin typeface="+mn-lt"/>
            <a:ea typeface="+mn-ea"/>
            <a:cs typeface="+mn-cs"/>
          </a:endParaRPr>
        </a:p>
        <a:p>
          <a:pPr eaLnBrk="1" fontAlgn="auto" latinLnBrk="0" hangingPunct="1"/>
          <a:r>
            <a:rPr lang="ru-RU" sz="1100" b="1">
              <a:solidFill>
                <a:schemeClr val="dk1"/>
              </a:solidFill>
              <a:effectLst/>
              <a:latin typeface="+mn-lt"/>
              <a:ea typeface="+mn-ea"/>
              <a:cs typeface="+mn-cs"/>
            </a:rPr>
            <a:t>Dallas Lock Linux</a:t>
          </a:r>
          <a:r>
            <a:rPr lang="ru-RU" sz="1100" b="1" i="0" baseline="0">
              <a:solidFill>
                <a:schemeClr val="dk1"/>
              </a:solidFill>
              <a:effectLst/>
              <a:latin typeface="+mn-lt"/>
              <a:ea typeface="+mn-ea"/>
              <a:cs typeface="+mn-cs"/>
            </a:rPr>
            <a:t>. Электронная дистрибуция</a:t>
          </a:r>
          <a:endParaRPr lang="ru-RU">
            <a:effectLst/>
          </a:endParaRPr>
        </a:p>
        <a:p>
          <a:r>
            <a:rPr lang="ru-RU" sz="1100" b="0" i="0">
              <a:solidFill>
                <a:schemeClr val="dk1"/>
              </a:solidFill>
              <a:effectLst/>
              <a:latin typeface="+mn-lt"/>
              <a:ea typeface="+mn-ea"/>
              <a:cs typeface="+mn-cs"/>
            </a:rPr>
            <a:t>С 1 сентября 2025 года стартовала электронная дистрибуция</a:t>
          </a:r>
          <a:r>
            <a:rPr lang="ru-RU" sz="1100" b="0" i="0" baseline="0">
              <a:solidFill>
                <a:schemeClr val="dk1"/>
              </a:solidFill>
              <a:effectLst/>
              <a:latin typeface="+mn-lt"/>
              <a:ea typeface="+mn-ea"/>
              <a:cs typeface="+mn-cs"/>
            </a:rPr>
            <a:t> –</a:t>
          </a:r>
          <a:r>
            <a:rPr lang="ru-RU" sz="1100" b="0" i="0">
              <a:solidFill>
                <a:schemeClr val="dk1"/>
              </a:solidFill>
              <a:effectLst/>
              <a:latin typeface="+mn-lt"/>
              <a:ea typeface="+mn-ea"/>
              <a:cs typeface="+mn-cs"/>
            </a:rPr>
            <a:t> это возможность скачивать необходимые документы и дистрибутивы в личном</a:t>
          </a:r>
          <a:r>
            <a:rPr lang="ru-RU" sz="1100" b="0" i="0" baseline="0">
              <a:solidFill>
                <a:schemeClr val="dk1"/>
              </a:solidFill>
              <a:effectLst/>
              <a:latin typeface="+mn-lt"/>
              <a:ea typeface="+mn-ea"/>
              <a:cs typeface="+mn-cs"/>
            </a:rPr>
            <a:t> кабинете </a:t>
          </a:r>
          <a:r>
            <a:rPr lang="ru-RU" sz="1100" b="0" i="0">
              <a:solidFill>
                <a:schemeClr val="dk1"/>
              </a:solidFill>
              <a:effectLst/>
              <a:latin typeface="+mn-lt"/>
              <a:ea typeface="+mn-ea"/>
              <a:cs typeface="+mn-cs"/>
            </a:rPr>
            <a:t>пользователя на</a:t>
          </a:r>
          <a:r>
            <a:rPr lang="ru-RU" sz="1100" b="0" i="0" baseline="0">
              <a:solidFill>
                <a:schemeClr val="dk1"/>
              </a:solidFill>
              <a:effectLst/>
              <a:latin typeface="+mn-lt"/>
              <a:ea typeface="+mn-ea"/>
              <a:cs typeface="+mn-cs"/>
            </a:rPr>
            <a:t> </a:t>
          </a:r>
          <a:r>
            <a:rPr lang="ru-RU" sz="1100" b="0" i="0">
              <a:solidFill>
                <a:schemeClr val="dk1"/>
              </a:solidFill>
              <a:effectLst/>
              <a:latin typeface="+mn-lt"/>
              <a:ea typeface="+mn-ea"/>
              <a:cs typeface="+mn-cs"/>
            </a:rPr>
            <a:t>сайте </a:t>
          </a:r>
          <a:r>
            <a:rPr lang="en-US" sz="1100" b="0" i="0">
              <a:solidFill>
                <a:schemeClr val="dk1"/>
              </a:solidFill>
              <a:effectLst/>
              <a:latin typeface="+mn-lt"/>
              <a:ea typeface="+mn-ea"/>
              <a:cs typeface="+mn-cs"/>
            </a:rPr>
            <a:t>www.dallaslock.ru </a:t>
          </a:r>
          <a:r>
            <a:rPr lang="ru-RU" sz="1100" b="0" i="0">
              <a:solidFill>
                <a:schemeClr val="dk1"/>
              </a:solidFill>
              <a:effectLst/>
              <a:latin typeface="+mn-lt"/>
              <a:ea typeface="+mn-ea"/>
              <a:cs typeface="+mn-cs"/>
            </a:rPr>
            <a:t>или воспользоваться ссылками для скачивания в момент активации лицензий. Возможность приобретать физические дистрибутивы сохраняется.</a:t>
          </a:r>
          <a:endParaRPr lang="en-US" sz="1100" b="0" i="0">
            <a:solidFill>
              <a:schemeClr val="dk1"/>
            </a:solidFill>
            <a:effectLst/>
            <a:latin typeface="+mn-lt"/>
            <a:ea typeface="+mn-ea"/>
            <a:cs typeface="+mn-cs"/>
          </a:endParaRPr>
        </a:p>
        <a:p>
          <a:endParaRPr lang="ru-RU" sz="1100" b="0" i="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ru-RU" sz="1100" b="1" i="0" baseline="0">
              <a:solidFill>
                <a:schemeClr val="dk1"/>
              </a:solidFill>
              <a:effectLst/>
              <a:latin typeface="+mn-lt"/>
              <a:ea typeface="+mn-ea"/>
              <a:cs typeface="+mn-cs"/>
            </a:rPr>
            <a:t>В рамках Пакетного предложения при покупке трех модулей</a:t>
          </a:r>
          <a:r>
            <a:rPr lang="en-US" sz="1100" b="1" i="0" baseline="0">
              <a:solidFill>
                <a:schemeClr val="dk1"/>
              </a:solidFill>
              <a:effectLst/>
              <a:latin typeface="+mn-lt"/>
              <a:ea typeface="+mn-ea"/>
              <a:cs typeface="+mn-cs"/>
            </a:rPr>
            <a:t>: </a:t>
          </a:r>
          <a:r>
            <a:rPr lang="ru-RU" sz="1100" b="0" i="0" baseline="0">
              <a:solidFill>
                <a:schemeClr val="dk1"/>
              </a:solidFill>
              <a:effectLst/>
              <a:latin typeface="+mn-lt"/>
              <a:ea typeface="+mn-ea"/>
              <a:cs typeface="+mn-cs"/>
            </a:rPr>
            <a:t>модуля «Межсетевой экран»</a:t>
          </a:r>
          <a:r>
            <a:rPr lang="en-US" sz="1100" b="0" i="0" baseline="0">
              <a:solidFill>
                <a:schemeClr val="dk1"/>
              </a:solidFill>
              <a:effectLst/>
              <a:latin typeface="+mn-lt"/>
              <a:ea typeface="+mn-ea"/>
              <a:cs typeface="+mn-cs"/>
            </a:rPr>
            <a:t>, </a:t>
          </a:r>
          <a:r>
            <a:rPr lang="ru-RU" sz="1100" b="0" i="0" baseline="0">
              <a:solidFill>
                <a:schemeClr val="dk1"/>
              </a:solidFill>
              <a:effectLst/>
              <a:latin typeface="+mn-lt"/>
              <a:ea typeface="+mn-ea"/>
              <a:cs typeface="+mn-cs"/>
            </a:rPr>
            <a:t>модуля «Система обнаружения вторжений»</a:t>
          </a:r>
          <a:r>
            <a:rPr lang="en-US" sz="1100" b="0" i="0" baseline="0">
              <a:solidFill>
                <a:schemeClr val="dk1"/>
              </a:solidFill>
              <a:effectLst/>
              <a:latin typeface="+mn-lt"/>
              <a:ea typeface="+mn-ea"/>
              <a:cs typeface="+mn-cs"/>
            </a:rPr>
            <a:t> </a:t>
          </a:r>
          <a:r>
            <a:rPr lang="ru-RU" sz="1100" b="0" i="0" baseline="0">
              <a:solidFill>
                <a:schemeClr val="dk1"/>
              </a:solidFill>
              <a:effectLst/>
              <a:latin typeface="+mn-lt"/>
              <a:ea typeface="+mn-ea"/>
              <a:cs typeface="+mn-cs"/>
            </a:rPr>
            <a:t>и модуля «Средство контроля машинных носителей» </a:t>
          </a:r>
          <a:r>
            <a:rPr lang="ru-RU" sz="1100" b="1" i="0" baseline="0">
              <a:solidFill>
                <a:schemeClr val="dk1"/>
              </a:solidFill>
              <a:effectLst/>
              <a:latin typeface="+mn-lt"/>
              <a:ea typeface="+mn-ea"/>
              <a:cs typeface="+mn-cs"/>
            </a:rPr>
            <a:t>предоставляется дополнительная скидка</a:t>
          </a:r>
          <a:r>
            <a:rPr lang="ru-RU" sz="1100" b="0" i="0" baseline="0">
              <a:solidFill>
                <a:schemeClr val="dk1"/>
              </a:solidFill>
              <a:effectLst/>
              <a:latin typeface="+mn-lt"/>
              <a:ea typeface="+mn-ea"/>
              <a:cs typeface="+mn-cs"/>
            </a:rPr>
            <a:t>. С ней можно ознакомиться в калькуляторе на сайте.</a:t>
          </a:r>
          <a:endParaRPr lang="ru-RU">
            <a:effectLst/>
          </a:endParaRPr>
        </a:p>
        <a:p>
          <a:endParaRPr lang="ru-RU" sz="1100" b="1">
            <a:solidFill>
              <a:schemeClr val="dk1"/>
            </a:solidFill>
            <a:effectLst/>
            <a:latin typeface="+mn-lt"/>
            <a:ea typeface="+mn-ea"/>
            <a:cs typeface="+mn-cs"/>
          </a:endParaRPr>
        </a:p>
        <a:p>
          <a:r>
            <a:rPr lang="ru-RU" sz="1100" b="1">
              <a:solidFill>
                <a:schemeClr val="dk1"/>
              </a:solidFill>
              <a:effectLst/>
              <a:latin typeface="+mn-lt"/>
              <a:ea typeface="+mn-ea"/>
              <a:cs typeface="+mn-cs"/>
            </a:rPr>
            <a:t>Dallas Lock Linux. Сертифицированный комплект для установки</a:t>
          </a:r>
          <a:endParaRPr lang="ru-RU">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ru-RU" sz="1100">
              <a:solidFill>
                <a:schemeClr val="dk1"/>
              </a:solidFill>
              <a:effectLst/>
              <a:latin typeface="+mn-lt"/>
              <a:ea typeface="+mn-ea"/>
              <a:cs typeface="+mn-cs"/>
            </a:rPr>
            <a:t>Компакт-диск с ПО Dallas Lock Linuх и документацией в электронном виде;</a:t>
          </a:r>
          <a:r>
            <a:rPr lang="ru-RU" sz="1100" baseline="0">
              <a:solidFill>
                <a:schemeClr val="dk1"/>
              </a:solidFill>
              <a:effectLst/>
              <a:latin typeface="+mn-lt"/>
              <a:ea typeface="+mn-ea"/>
              <a:cs typeface="+mn-cs"/>
            </a:rPr>
            <a:t> </a:t>
          </a:r>
          <a:r>
            <a:rPr lang="ru-RU" sz="1100">
              <a:solidFill>
                <a:schemeClr val="dk1"/>
              </a:solidFill>
              <a:effectLst/>
              <a:latin typeface="+mn-lt"/>
              <a:ea typeface="+mn-ea"/>
              <a:cs typeface="+mn-cs"/>
            </a:rPr>
            <a:t>формуляр; копия сертификата ФСТЭК России; краткое руководство </a:t>
          </a:r>
          <a:r>
            <a:rPr lang="ru-RU" sz="1100" b="1" i="0" baseline="0">
              <a:solidFill>
                <a:schemeClr val="dk1"/>
              </a:solidFill>
              <a:effectLst/>
              <a:latin typeface="+mn-lt"/>
              <a:ea typeface="+mn-ea"/>
              <a:cs typeface="+mn-cs"/>
            </a:rPr>
            <a:t>(возможна электронная поставка).</a:t>
          </a:r>
          <a:endParaRPr lang="ru-RU">
            <a:effectLst/>
          </a:endParaRPr>
        </a:p>
        <a:p>
          <a:endParaRPr lang="en-US" sz="1100" b="1">
            <a:solidFill>
              <a:schemeClr val="dk1"/>
            </a:solidFill>
            <a:effectLst/>
            <a:latin typeface="+mn-lt"/>
            <a:ea typeface="+mn-ea"/>
            <a:cs typeface="+mn-cs"/>
          </a:endParaRPr>
        </a:p>
        <a:p>
          <a:r>
            <a:rPr lang="ru-RU" sz="1100" b="1">
              <a:solidFill>
                <a:schemeClr val="dk1"/>
              </a:solidFill>
              <a:effectLst/>
              <a:latin typeface="+mn-lt"/>
              <a:ea typeface="+mn-ea"/>
              <a:cs typeface="+mn-cs"/>
            </a:rPr>
            <a:t>Техническая поддержка</a:t>
          </a:r>
          <a:endParaRPr lang="ru-RU">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ru-RU" sz="1100" b="0" i="0" baseline="0">
              <a:solidFill>
                <a:schemeClr val="dk1"/>
              </a:solidFill>
              <a:effectLst/>
              <a:latin typeface="+mn-lt"/>
              <a:ea typeface="+mn-ea"/>
              <a:cs typeface="+mn-cs"/>
            </a:rPr>
            <a:t>При первичном приобретении гарантийное сопровождение (основной пакет) в течение 1 года включено в стоимость (окончание артикула </a:t>
          </a:r>
          <a:r>
            <a:rPr lang="en-US" sz="1100" b="1" i="0" baseline="0">
              <a:solidFill>
                <a:schemeClr val="dk1"/>
              </a:solidFill>
              <a:effectLst/>
              <a:latin typeface="+mn-lt"/>
              <a:ea typeface="+mn-ea"/>
              <a:cs typeface="+mn-cs"/>
            </a:rPr>
            <a:t>z = 12M</a:t>
          </a:r>
          <a:r>
            <a:rPr lang="ru-RU" sz="1100" b="0" i="0" baseline="0">
              <a:solidFill>
                <a:schemeClr val="dk1"/>
              </a:solidFill>
              <a:effectLst/>
              <a:latin typeface="+mn-lt"/>
              <a:ea typeface="+mn-ea"/>
              <a:cs typeface="+mn-cs"/>
            </a:rPr>
            <a:t>).</a:t>
          </a:r>
          <a:r>
            <a:rPr lang="en-US" sz="1100" b="0" i="0" baseline="0">
              <a:solidFill>
                <a:schemeClr val="dk1"/>
              </a:solidFill>
              <a:effectLst/>
              <a:latin typeface="+mn-lt"/>
              <a:ea typeface="+mn-ea"/>
              <a:cs typeface="+mn-cs"/>
            </a:rPr>
            <a:t> </a:t>
          </a:r>
          <a:r>
            <a:rPr lang="ru-RU" sz="1100" b="0" i="0" baseline="0">
              <a:solidFill>
                <a:schemeClr val="dk1"/>
              </a:solidFill>
              <a:effectLst/>
              <a:latin typeface="+mn-lt"/>
              <a:ea typeface="+mn-ea"/>
              <a:cs typeface="+mn-cs"/>
            </a:rPr>
            <a:t>В случае приобретения лицензий с гарантийным сопровождением (основной пакет) на 3 года, стоимость лицензии умножается на коэффициент </a:t>
          </a:r>
          <a:r>
            <a:rPr lang="ru-RU" sz="1100" b="1" i="0" baseline="0">
              <a:solidFill>
                <a:schemeClr val="dk1"/>
              </a:solidFill>
              <a:effectLst/>
              <a:latin typeface="+mn-lt"/>
              <a:ea typeface="+mn-ea"/>
              <a:cs typeface="+mn-cs"/>
            </a:rPr>
            <a:t>1,35</a:t>
          </a:r>
          <a:r>
            <a:rPr lang="ru-RU" sz="1100" b="0" i="0" baseline="0">
              <a:solidFill>
                <a:schemeClr val="dk1"/>
              </a:solidFill>
              <a:effectLst/>
              <a:latin typeface="+mn-lt"/>
              <a:ea typeface="+mn-ea"/>
              <a:cs typeface="+mn-cs"/>
            </a:rPr>
            <a:t> (</a:t>
          </a:r>
          <a:r>
            <a:rPr lang="en-US" sz="1100" b="1" i="0" baseline="0">
              <a:solidFill>
                <a:schemeClr val="dk1"/>
              </a:solidFill>
              <a:effectLst/>
              <a:latin typeface="+mn-lt"/>
              <a:ea typeface="+mn-ea"/>
              <a:cs typeface="+mn-cs"/>
            </a:rPr>
            <a:t>z = 36M</a:t>
          </a:r>
          <a:r>
            <a:rPr lang="ru-RU" sz="1100" b="0" i="0" baseline="0">
              <a:solidFill>
                <a:schemeClr val="dk1"/>
              </a:solidFill>
              <a:effectLst/>
              <a:latin typeface="+mn-lt"/>
              <a:ea typeface="+mn-ea"/>
              <a:cs typeface="+mn-cs"/>
            </a:rPr>
            <a:t>). При первичном приобретении с техническим сопровождением расширенного пакета «24х7» окончания артикулов </a:t>
          </a:r>
          <a:r>
            <a:rPr lang="en-US" sz="1100" b="1" i="0" baseline="0">
              <a:solidFill>
                <a:schemeClr val="dk1"/>
              </a:solidFill>
              <a:effectLst/>
              <a:latin typeface="+mn-lt"/>
              <a:ea typeface="+mn-ea"/>
              <a:cs typeface="+mn-cs"/>
            </a:rPr>
            <a:t>12M</a:t>
          </a:r>
          <a:r>
            <a:rPr lang="en-US" sz="1100" b="0" i="0" baseline="0">
              <a:solidFill>
                <a:schemeClr val="dk1"/>
              </a:solidFill>
              <a:effectLst/>
              <a:latin typeface="+mn-lt"/>
              <a:ea typeface="+mn-ea"/>
              <a:cs typeface="+mn-cs"/>
            </a:rPr>
            <a:t>, </a:t>
          </a:r>
          <a:r>
            <a:rPr lang="en-US" sz="1100" b="1" i="0" baseline="0">
              <a:solidFill>
                <a:schemeClr val="dk1"/>
              </a:solidFill>
              <a:effectLst/>
              <a:latin typeface="+mn-lt"/>
              <a:ea typeface="+mn-ea"/>
              <a:cs typeface="+mn-cs"/>
            </a:rPr>
            <a:t>36M</a:t>
          </a:r>
          <a:r>
            <a:rPr lang="ru-RU" sz="1100" b="0" i="0" baseline="0">
              <a:solidFill>
                <a:schemeClr val="dk1"/>
              </a:solidFill>
              <a:effectLst/>
              <a:latin typeface="+mn-lt"/>
              <a:ea typeface="+mn-ea"/>
              <a:cs typeface="+mn-cs"/>
            </a:rPr>
            <a:t> заменяются на </a:t>
          </a:r>
          <a:r>
            <a:rPr lang="en-US" sz="1100" b="1" i="0" baseline="0">
              <a:solidFill>
                <a:schemeClr val="dk1"/>
              </a:solidFill>
              <a:effectLst/>
              <a:latin typeface="+mn-lt"/>
              <a:ea typeface="+mn-ea"/>
              <a:cs typeface="+mn-cs"/>
            </a:rPr>
            <a:t>12M247</a:t>
          </a:r>
          <a:r>
            <a:rPr lang="ru-RU" sz="1100" b="0" i="0" baseline="0">
              <a:solidFill>
                <a:schemeClr val="dk1"/>
              </a:solidFill>
              <a:effectLst/>
              <a:latin typeface="+mn-lt"/>
              <a:ea typeface="+mn-ea"/>
              <a:cs typeface="+mn-cs"/>
            </a:rPr>
            <a:t>, </a:t>
          </a:r>
          <a:r>
            <a:rPr lang="en-US" sz="1100" b="1" i="0" baseline="0">
              <a:solidFill>
                <a:schemeClr val="dk1"/>
              </a:solidFill>
              <a:effectLst/>
              <a:latin typeface="+mn-lt"/>
              <a:ea typeface="+mn-ea"/>
              <a:cs typeface="+mn-cs"/>
            </a:rPr>
            <a:t>36M247</a:t>
          </a:r>
          <a:r>
            <a:rPr lang="en-US" sz="1100" b="0" i="0" baseline="0">
              <a:solidFill>
                <a:schemeClr val="dk1"/>
              </a:solidFill>
              <a:effectLst/>
              <a:latin typeface="+mn-lt"/>
              <a:ea typeface="+mn-ea"/>
              <a:cs typeface="+mn-cs"/>
            </a:rPr>
            <a:t> </a:t>
          </a:r>
          <a:r>
            <a:rPr lang="ru-RU" sz="1100" b="0" i="0" baseline="0">
              <a:solidFill>
                <a:schemeClr val="dk1"/>
              </a:solidFill>
              <a:effectLst/>
              <a:latin typeface="+mn-lt"/>
              <a:ea typeface="+mn-ea"/>
              <a:cs typeface="+mn-cs"/>
            </a:rPr>
            <a:t>соответственно.</a:t>
          </a:r>
          <a:endParaRPr lang="ru-RU">
            <a:effectLst/>
          </a:endParaRPr>
        </a:p>
        <a:p>
          <a:pPr eaLnBrk="1" fontAlgn="auto" latinLnBrk="0" hangingPunct="1"/>
          <a:endParaRPr lang="ru-RU">
            <a:effectLst/>
          </a:endParaRPr>
        </a:p>
        <a:p>
          <a:pPr algn="just"/>
          <a:endParaRPr lang="en-US" sz="1100" b="0" i="0" u="none" strike="noStrike" baseline="0">
            <a:solidFill>
              <a:schemeClr val="dk1"/>
            </a:solidFill>
            <a:latin typeface="+mn-lt"/>
            <a:ea typeface="+mn-ea"/>
            <a:cs typeface="Arial" panose="020B0604020202020204" pitchFamily="34" charset="0"/>
          </a:endParaRPr>
        </a:p>
      </xdr:txBody>
    </xdr:sp>
    <xdr:clientData/>
  </xdr:twoCellAnchor>
  <xdr:twoCellAnchor>
    <xdr:from>
      <xdr:col>2</xdr:col>
      <xdr:colOff>3920565</xdr:colOff>
      <xdr:row>37</xdr:row>
      <xdr:rowOff>235206</xdr:rowOff>
    </xdr:from>
    <xdr:to>
      <xdr:col>12</xdr:col>
      <xdr:colOff>16933</xdr:colOff>
      <xdr:row>47</xdr:row>
      <xdr:rowOff>85725</xdr:rowOff>
    </xdr:to>
    <xdr:sp macro="" textlink="">
      <xdr:nvSpPr>
        <xdr:cNvPr id="4" name="TextBox 3">
          <a:extLst>
            <a:ext uri="{FF2B5EF4-FFF2-40B4-BE49-F238E27FC236}">
              <a16:creationId xmlns:a16="http://schemas.microsoft.com/office/drawing/2014/main" xmlns="" id="{00000000-0008-0000-0400-000004000000}"/>
            </a:ext>
          </a:extLst>
        </xdr:cNvPr>
        <xdr:cNvSpPr txBox="1"/>
      </xdr:nvSpPr>
      <xdr:spPr>
        <a:xfrm>
          <a:off x="6492315" y="14303631"/>
          <a:ext cx="6707218" cy="342239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ru-RU" sz="1100" b="0" i="0" baseline="0">
              <a:solidFill>
                <a:schemeClr val="dk1"/>
              </a:solidFill>
              <a:effectLst/>
              <a:latin typeface="+mn-lt"/>
              <a:ea typeface="+mn-ea"/>
              <a:cs typeface="+mn-cs"/>
            </a:rPr>
            <a:t>Продление технического сопровождения оформляется в виде сертификата на код активации технической поддержки. </a:t>
          </a:r>
          <a:r>
            <a:rPr lang="ru-RU" sz="1100">
              <a:solidFill>
                <a:schemeClr val="dk1"/>
              </a:solidFill>
              <a:effectLst/>
              <a:latin typeface="+mn-lt"/>
              <a:ea typeface="+mn-ea"/>
              <a:cs typeface="+mn-cs"/>
            </a:rPr>
            <a:t>Сертификат передается по УПД или товарной накладной по форме ТОРГ-12 с оформлением счета-фактуры.</a:t>
          </a:r>
          <a:endParaRPr lang="ru-RU">
            <a:effectLst/>
          </a:endParaRPr>
        </a:p>
        <a:p>
          <a:pPr algn="l" eaLnBrk="1" fontAlgn="auto" latinLnBrk="0" hangingPunct="1"/>
          <a:endParaRPr lang="ru-RU">
            <a:effectLst/>
          </a:endParaRPr>
        </a:p>
        <a:p>
          <a:pPr algn="l"/>
          <a:r>
            <a:rPr lang="ru-RU" sz="1100" b="0" i="0" baseline="0">
              <a:solidFill>
                <a:schemeClr val="dk1"/>
              </a:solidFill>
              <a:effectLst/>
              <a:latin typeface="+mn-lt"/>
              <a:ea typeface="+mn-ea"/>
              <a:cs typeface="+mn-cs"/>
            </a:rPr>
            <a:t>Стоимость последующего технического сопровождения (основной пакет) составляет 20% (15% для лицензий с артикулом </a:t>
          </a:r>
          <a:r>
            <a:rPr lang="en-US" sz="1100" b="0" i="0" baseline="0">
              <a:solidFill>
                <a:schemeClr val="dk1"/>
              </a:solidFill>
              <a:effectLst/>
              <a:latin typeface="+mn-lt"/>
              <a:ea typeface="+mn-ea"/>
              <a:cs typeface="+mn-cs"/>
            </a:rPr>
            <a:t>*</a:t>
          </a:r>
          <a:r>
            <a:rPr lang="ru-RU" sz="1100" b="0" i="0" baseline="0">
              <a:solidFill>
                <a:schemeClr val="dk1"/>
              </a:solidFill>
              <a:effectLst/>
              <a:latin typeface="+mn-lt"/>
              <a:ea typeface="+mn-ea"/>
              <a:cs typeface="+mn-cs"/>
            </a:rPr>
            <a:t>.36</a:t>
          </a:r>
          <a:r>
            <a:rPr lang="en-US" sz="1100" b="0" i="0" baseline="0">
              <a:solidFill>
                <a:schemeClr val="dk1"/>
              </a:solidFill>
              <a:effectLst/>
              <a:latin typeface="+mn-lt"/>
              <a:ea typeface="+mn-ea"/>
              <a:cs typeface="+mn-cs"/>
            </a:rPr>
            <a:t>M</a:t>
          </a:r>
          <a:r>
            <a:rPr lang="ru-RU" sz="1100" b="0" i="0" baseline="0">
              <a:solidFill>
                <a:schemeClr val="dk1"/>
              </a:solidFill>
              <a:effectLst/>
              <a:latin typeface="+mn-lt"/>
              <a:ea typeface="+mn-ea"/>
              <a:cs typeface="+mn-cs"/>
            </a:rPr>
            <a:t>) от стоимости лицензий в год. При оплате технического сопровождения (основной пакет) вперед на 3 года действует скидка – стоимость продления составит 55% (40% для лицензий с артикулом </a:t>
          </a:r>
          <a:r>
            <a:rPr lang="en-US" sz="1100" b="0" i="0" baseline="0">
              <a:solidFill>
                <a:schemeClr val="dk1"/>
              </a:solidFill>
              <a:effectLst/>
              <a:latin typeface="+mn-lt"/>
              <a:ea typeface="+mn-ea"/>
              <a:cs typeface="+mn-cs"/>
            </a:rPr>
            <a:t>*</a:t>
          </a:r>
          <a:r>
            <a:rPr lang="ru-RU" sz="1100" b="0" i="0" baseline="0">
              <a:solidFill>
                <a:schemeClr val="dk1"/>
              </a:solidFill>
              <a:effectLst/>
              <a:latin typeface="+mn-lt"/>
              <a:ea typeface="+mn-ea"/>
              <a:cs typeface="+mn-cs"/>
            </a:rPr>
            <a:t>.36</a:t>
          </a:r>
          <a:r>
            <a:rPr lang="en-US" sz="1100" b="0" i="0" baseline="0">
              <a:solidFill>
                <a:schemeClr val="dk1"/>
              </a:solidFill>
              <a:effectLst/>
              <a:latin typeface="+mn-lt"/>
              <a:ea typeface="+mn-ea"/>
              <a:cs typeface="+mn-cs"/>
            </a:rPr>
            <a:t>M</a:t>
          </a:r>
          <a:r>
            <a:rPr lang="ru-RU" sz="1100" b="0" i="0" baseline="0">
              <a:solidFill>
                <a:schemeClr val="dk1"/>
              </a:solidFill>
              <a:effectLst/>
              <a:latin typeface="+mn-lt"/>
              <a:ea typeface="+mn-ea"/>
              <a:cs typeface="+mn-cs"/>
            </a:rPr>
            <a:t>) от розничной стоимости лицензий. Стоимость последующего технического сопровождения (расширенный пакет «24х7») составляет 30% (22% для лицензий с артикулом </a:t>
          </a:r>
          <a:r>
            <a:rPr lang="en-US" sz="1100" b="0" i="0" baseline="0">
              <a:solidFill>
                <a:schemeClr val="dk1"/>
              </a:solidFill>
              <a:effectLst/>
              <a:latin typeface="+mn-lt"/>
              <a:ea typeface="+mn-ea"/>
              <a:cs typeface="+mn-cs"/>
            </a:rPr>
            <a:t>*</a:t>
          </a:r>
          <a:r>
            <a:rPr lang="ru-RU" sz="1100" b="0" i="0" baseline="0">
              <a:solidFill>
                <a:schemeClr val="dk1"/>
              </a:solidFill>
              <a:effectLst/>
              <a:latin typeface="+mn-lt"/>
              <a:ea typeface="+mn-ea"/>
              <a:cs typeface="+mn-cs"/>
            </a:rPr>
            <a:t>.36</a:t>
          </a:r>
          <a:r>
            <a:rPr lang="en-US" sz="1100" b="0" i="0" baseline="0">
              <a:solidFill>
                <a:schemeClr val="dk1"/>
              </a:solidFill>
              <a:effectLst/>
              <a:latin typeface="+mn-lt"/>
              <a:ea typeface="+mn-ea"/>
              <a:cs typeface="+mn-cs"/>
            </a:rPr>
            <a:t>M</a:t>
          </a:r>
          <a:r>
            <a:rPr lang="ru-RU" sz="1100" b="0" i="0" baseline="0">
              <a:solidFill>
                <a:schemeClr val="dk1"/>
              </a:solidFill>
              <a:effectLst/>
              <a:latin typeface="+mn-lt"/>
              <a:ea typeface="+mn-ea"/>
              <a:cs typeface="+mn-cs"/>
            </a:rPr>
            <a:t>) от стоимости лицензий в год. При оплате технического сопровождения (расширенный пакет «24х7») вперед на 3 года действует скидка – стоимость продления составит 80% (60% для лицензий с артикулом </a:t>
          </a:r>
          <a:r>
            <a:rPr lang="en-US" sz="1100" b="0" i="0" baseline="0">
              <a:solidFill>
                <a:schemeClr val="dk1"/>
              </a:solidFill>
              <a:effectLst/>
              <a:latin typeface="+mn-lt"/>
              <a:ea typeface="+mn-ea"/>
              <a:cs typeface="+mn-cs"/>
            </a:rPr>
            <a:t>*</a:t>
          </a:r>
          <a:r>
            <a:rPr lang="ru-RU" sz="1100" b="0" i="0" baseline="0">
              <a:solidFill>
                <a:schemeClr val="dk1"/>
              </a:solidFill>
              <a:effectLst/>
              <a:latin typeface="+mn-lt"/>
              <a:ea typeface="+mn-ea"/>
              <a:cs typeface="+mn-cs"/>
            </a:rPr>
            <a:t>.36</a:t>
          </a:r>
          <a:r>
            <a:rPr lang="en-US" sz="1100" b="0" i="0" baseline="0">
              <a:solidFill>
                <a:schemeClr val="dk1"/>
              </a:solidFill>
              <a:effectLst/>
              <a:latin typeface="+mn-lt"/>
              <a:ea typeface="+mn-ea"/>
              <a:cs typeface="+mn-cs"/>
            </a:rPr>
            <a:t>M</a:t>
          </a:r>
          <a:r>
            <a:rPr lang="ru-RU" sz="1100" b="0" i="0" baseline="0">
              <a:solidFill>
                <a:schemeClr val="dk1"/>
              </a:solidFill>
              <a:effectLst/>
              <a:latin typeface="+mn-lt"/>
              <a:ea typeface="+mn-ea"/>
              <a:cs typeface="+mn-cs"/>
            </a:rPr>
            <a:t>) от стоимости лицензий. При продлении технического сопровождения оплачивается также весь период с момента окончания гарантийного или технического сопровождения</a:t>
          </a:r>
          <a:r>
            <a:rPr lang="en-US" sz="1100" b="0" i="0" baseline="0">
              <a:solidFill>
                <a:schemeClr val="dk1"/>
              </a:solidFill>
              <a:effectLst/>
              <a:latin typeface="+mn-lt"/>
              <a:ea typeface="+mn-ea"/>
              <a:cs typeface="+mn-cs"/>
            </a:rPr>
            <a:t> </a:t>
          </a:r>
          <a:r>
            <a:rPr lang="ru-RU" sz="1100" b="0" i="0">
              <a:solidFill>
                <a:schemeClr val="dk1"/>
              </a:solidFill>
              <a:effectLst/>
              <a:latin typeface="+mn-lt"/>
              <a:ea typeface="+mn-ea"/>
              <a:cs typeface="+mn-cs"/>
            </a:rPr>
            <a:t>на все лицензии</a:t>
          </a:r>
          <a:r>
            <a:rPr lang="ru-RU" sz="1100" b="0" i="0" baseline="0">
              <a:solidFill>
                <a:schemeClr val="dk1"/>
              </a:solidFill>
              <a:effectLst/>
              <a:latin typeface="+mn-lt"/>
              <a:ea typeface="+mn-ea"/>
              <a:cs typeface="+mn-cs"/>
            </a:rPr>
            <a:t>.</a:t>
          </a:r>
          <a:endParaRPr lang="en-US" sz="1100" b="0" i="0" baseline="0">
            <a:solidFill>
              <a:schemeClr val="dk1"/>
            </a:solidFill>
            <a:effectLst/>
            <a:latin typeface="+mn-lt"/>
            <a:ea typeface="+mn-ea"/>
            <a:cs typeface="+mn-cs"/>
          </a:endParaRPr>
        </a:p>
        <a:p>
          <a:pPr algn="l"/>
          <a:endParaRPr lang="ru-RU">
            <a:effectLst/>
          </a:endParaRPr>
        </a:p>
        <a:p>
          <a:pPr algn="l"/>
          <a:r>
            <a:rPr lang="ru-RU" sz="1100" b="0" i="0" baseline="0">
              <a:solidFill>
                <a:schemeClr val="dk1"/>
              </a:solidFill>
              <a:effectLst/>
              <a:latin typeface="+mn-lt"/>
              <a:ea typeface="+mn-ea"/>
              <a:cs typeface="+mn-cs"/>
            </a:rPr>
            <a:t>Пользователи программного обеспечения </a:t>
          </a:r>
          <a:r>
            <a:rPr lang="en-US" sz="1100" b="0" i="0" baseline="0">
              <a:solidFill>
                <a:schemeClr val="dk1"/>
              </a:solidFill>
              <a:effectLst/>
              <a:latin typeface="+mn-lt"/>
              <a:ea typeface="+mn-ea"/>
              <a:cs typeface="+mn-cs"/>
            </a:rPr>
            <a:t>Dallas Lock </a:t>
          </a:r>
          <a:r>
            <a:rPr lang="ru-RU" sz="1100" b="0" i="0" baseline="0">
              <a:solidFill>
                <a:schemeClr val="dk1"/>
              </a:solidFill>
              <a:effectLst/>
              <a:latin typeface="+mn-lt"/>
              <a:ea typeface="+mn-ea"/>
              <a:cs typeface="+mn-cs"/>
            </a:rPr>
            <a:t>в рамках гарантийного или непрерывно действующего технического сопровождения имеют право бесплатного обновления лицензий до следующей версии этого решения (с тем же объемом функциональности). Оплачивается только стоимость новых сертифицированных комплектов для установки и 1 год (3 года для лицензий с артикулом </a:t>
          </a:r>
          <a:r>
            <a:rPr lang="en-US" sz="1100" b="0" i="0" baseline="0">
              <a:solidFill>
                <a:schemeClr val="dk1"/>
              </a:solidFill>
              <a:effectLst/>
              <a:latin typeface="+mn-lt"/>
              <a:ea typeface="+mn-ea"/>
              <a:cs typeface="+mn-cs"/>
            </a:rPr>
            <a:t>*</a:t>
          </a:r>
          <a:r>
            <a:rPr lang="ru-RU" sz="1100" b="0" i="0" baseline="0">
              <a:solidFill>
                <a:schemeClr val="dk1"/>
              </a:solidFill>
              <a:effectLst/>
              <a:latin typeface="+mn-lt"/>
              <a:ea typeface="+mn-ea"/>
              <a:cs typeface="+mn-cs"/>
            </a:rPr>
            <a:t>.36</a:t>
          </a:r>
          <a:r>
            <a:rPr lang="en-US" sz="1100" b="0" i="0" baseline="0">
              <a:solidFill>
                <a:schemeClr val="dk1"/>
              </a:solidFill>
              <a:effectLst/>
              <a:latin typeface="+mn-lt"/>
              <a:ea typeface="+mn-ea"/>
              <a:cs typeface="+mn-cs"/>
            </a:rPr>
            <a:t>M</a:t>
          </a:r>
          <a:r>
            <a:rPr lang="ru-RU" sz="1100" b="0" i="0" baseline="0">
              <a:solidFill>
                <a:schemeClr val="dk1"/>
              </a:solidFill>
              <a:effectLst/>
              <a:latin typeface="+mn-lt"/>
              <a:ea typeface="+mn-ea"/>
              <a:cs typeface="+mn-cs"/>
            </a:rPr>
            <a:t>) технической поддержки.</a:t>
          </a:r>
          <a:endParaRPr lang="ru-RU">
            <a:effectLst/>
          </a:endParaRPr>
        </a:p>
        <a:p>
          <a:pPr algn="just">
            <a:lnSpc>
              <a:spcPct val="115000"/>
            </a:lnSpc>
            <a:spcAft>
              <a:spcPts val="0"/>
            </a:spcAft>
          </a:pPr>
          <a:endParaRPr lang="ru-RU" sz="1100">
            <a:effectLst/>
            <a:latin typeface="+mn-lt"/>
            <a:ea typeface="Calibri"/>
            <a:cs typeface="Times New Roman"/>
          </a:endParaRPr>
        </a:p>
      </xdr:txBody>
    </xdr:sp>
    <xdr:clientData/>
  </xdr:twoCellAnchor>
  <xdr:twoCellAnchor>
    <xdr:from>
      <xdr:col>0</xdr:col>
      <xdr:colOff>64767</xdr:colOff>
      <xdr:row>70</xdr:row>
      <xdr:rowOff>58202</xdr:rowOff>
    </xdr:from>
    <xdr:to>
      <xdr:col>12</xdr:col>
      <xdr:colOff>104774</xdr:colOff>
      <xdr:row>76</xdr:row>
      <xdr:rowOff>126999</xdr:rowOff>
    </xdr:to>
    <xdr:grpSp>
      <xdr:nvGrpSpPr>
        <xdr:cNvPr id="5" name="Группа 4">
          <a:extLst>
            <a:ext uri="{FF2B5EF4-FFF2-40B4-BE49-F238E27FC236}">
              <a16:creationId xmlns:a16="http://schemas.microsoft.com/office/drawing/2014/main" xmlns="" id="{00000000-0008-0000-0400-000005000000}"/>
            </a:ext>
          </a:extLst>
        </xdr:cNvPr>
        <xdr:cNvGrpSpPr/>
      </xdr:nvGrpSpPr>
      <xdr:grpSpPr>
        <a:xfrm>
          <a:off x="64767" y="22080002"/>
          <a:ext cx="13222607" cy="1211797"/>
          <a:chOff x="134258" y="17178919"/>
          <a:chExt cx="13010780" cy="650828"/>
        </a:xfrm>
      </xdr:grpSpPr>
      <xdr:sp macro="" textlink="">
        <xdr:nvSpPr>
          <xdr:cNvPr id="6" name="TextBox 5">
            <a:extLst>
              <a:ext uri="{FF2B5EF4-FFF2-40B4-BE49-F238E27FC236}">
                <a16:creationId xmlns:a16="http://schemas.microsoft.com/office/drawing/2014/main" xmlns="" id="{00000000-0008-0000-0400-000006000000}"/>
              </a:ext>
            </a:extLst>
          </xdr:cNvPr>
          <xdr:cNvSpPr txBox="1"/>
        </xdr:nvSpPr>
        <xdr:spPr>
          <a:xfrm>
            <a:off x="134258" y="17255841"/>
            <a:ext cx="12985823" cy="57390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baseline="0">
                <a:solidFill>
                  <a:schemeClr val="dk1"/>
                </a:solidFill>
                <a:latin typeface="+mn-lt"/>
                <a:ea typeface="+mn-ea"/>
                <a:cs typeface="Arial" panose="020B0604020202020204" pitchFamily="34" charset="0"/>
              </a:rPr>
              <a:t>* «x» – </a:t>
            </a:r>
            <a:r>
              <a:rPr lang="ru-RU" sz="1100" b="0" i="0" u="none" strike="noStrike" baseline="0">
                <a:solidFill>
                  <a:schemeClr val="dk1"/>
                </a:solidFill>
                <a:latin typeface="+mn-lt"/>
                <a:ea typeface="+mn-ea"/>
                <a:cs typeface="Arial" panose="020B0604020202020204" pitchFamily="34" charset="0"/>
              </a:rPr>
              <a:t>диапазон приобретаемых лицензий по количеству рабочих станций, серверов</a:t>
            </a:r>
            <a:r>
              <a:rPr lang="ru-RU" sz="1100" b="0" i="0" baseline="0">
                <a:solidFill>
                  <a:schemeClr val="dk1"/>
                </a:solidFill>
                <a:effectLst/>
                <a:latin typeface="+mn-lt"/>
                <a:ea typeface="+mn-ea"/>
                <a:cs typeface="+mn-cs"/>
              </a:rPr>
              <a:t>; «</a:t>
            </a:r>
            <a:r>
              <a:rPr lang="en-US" sz="1100" b="0" i="0" baseline="0">
                <a:solidFill>
                  <a:schemeClr val="dk1"/>
                </a:solidFill>
                <a:effectLst/>
                <a:latin typeface="+mn-lt"/>
                <a:ea typeface="+mn-ea"/>
                <a:cs typeface="+mn-cs"/>
              </a:rPr>
              <a:t>z» – </a:t>
            </a:r>
            <a:r>
              <a:rPr lang="ru-RU" sz="1100" b="0" i="0" baseline="0">
                <a:solidFill>
                  <a:schemeClr val="dk1"/>
                </a:solidFill>
                <a:effectLst/>
                <a:latin typeface="+mn-lt"/>
                <a:ea typeface="+mn-ea"/>
                <a:cs typeface="+mn-cs"/>
              </a:rPr>
              <a:t>срок оказания гарантийного сопровождения: </a:t>
            </a:r>
            <a:r>
              <a:rPr lang="en-US" sz="1100" b="0" i="0" baseline="0">
                <a:solidFill>
                  <a:schemeClr val="dk1"/>
                </a:solidFill>
                <a:effectLst/>
                <a:latin typeface="+mn-lt"/>
                <a:ea typeface="+mn-ea"/>
                <a:cs typeface="+mn-cs"/>
              </a:rPr>
              <a:t>12M </a:t>
            </a:r>
            <a:r>
              <a:rPr lang="ru-RU" sz="1100" b="0" i="0" baseline="0">
                <a:solidFill>
                  <a:schemeClr val="dk1"/>
                </a:solidFill>
                <a:effectLst/>
                <a:latin typeface="+mn-lt"/>
                <a:ea typeface="+mn-ea"/>
                <a:cs typeface="+mn-cs"/>
              </a:rPr>
              <a:t>–</a:t>
            </a:r>
            <a:r>
              <a:rPr lang="en-US" sz="1100" b="0" i="0" baseline="0">
                <a:solidFill>
                  <a:schemeClr val="dk1"/>
                </a:solidFill>
                <a:effectLst/>
                <a:latin typeface="+mn-lt"/>
                <a:ea typeface="+mn-ea"/>
                <a:cs typeface="+mn-cs"/>
              </a:rPr>
              <a:t> </a:t>
            </a:r>
            <a:r>
              <a:rPr lang="ru-RU" sz="1100" b="0" i="0" baseline="0">
                <a:solidFill>
                  <a:schemeClr val="dk1"/>
                </a:solidFill>
                <a:effectLst/>
                <a:latin typeface="+mn-lt"/>
                <a:ea typeface="+mn-ea"/>
                <a:cs typeface="+mn-cs"/>
              </a:rPr>
              <a:t>12 месяцев, 36</a:t>
            </a:r>
            <a:r>
              <a:rPr lang="en-US" sz="1100" b="0" i="0" baseline="0">
                <a:solidFill>
                  <a:schemeClr val="dk1"/>
                </a:solidFill>
                <a:effectLst/>
                <a:latin typeface="+mn-lt"/>
                <a:ea typeface="+mn-ea"/>
                <a:cs typeface="+mn-cs"/>
              </a:rPr>
              <a:t>M </a:t>
            </a:r>
            <a:r>
              <a:rPr lang="ru-RU" sz="1100" b="0" i="0" baseline="0">
                <a:solidFill>
                  <a:schemeClr val="dk1"/>
                </a:solidFill>
                <a:effectLst/>
                <a:latin typeface="+mn-lt"/>
                <a:ea typeface="+mn-ea"/>
                <a:cs typeface="+mn-cs"/>
              </a:rPr>
              <a:t>–</a:t>
            </a:r>
            <a:r>
              <a:rPr lang="en-US" sz="1100" b="0" i="0" baseline="0">
                <a:solidFill>
                  <a:schemeClr val="dk1"/>
                </a:solidFill>
                <a:effectLst/>
                <a:latin typeface="+mn-lt"/>
                <a:ea typeface="+mn-ea"/>
                <a:cs typeface="+mn-cs"/>
              </a:rPr>
              <a:t> </a:t>
            </a:r>
            <a:r>
              <a:rPr lang="ru-RU" sz="1100" b="0" i="0" baseline="0">
                <a:solidFill>
                  <a:schemeClr val="dk1"/>
                </a:solidFill>
                <a:effectLst/>
                <a:latin typeface="+mn-lt"/>
                <a:ea typeface="+mn-ea"/>
                <a:cs typeface="+mn-cs"/>
              </a:rPr>
              <a:t>36 месяцев.</a:t>
            </a:r>
            <a:endParaRPr lang="ru-RU" sz="1100" b="0" i="0" u="none" strike="noStrike" baseline="0">
              <a:solidFill>
                <a:schemeClr val="dk1"/>
              </a:solidFill>
              <a:latin typeface="+mn-lt"/>
              <a:ea typeface="+mn-ea"/>
              <a:cs typeface="Arial" panose="020B0604020202020204" pitchFamily="34" charset="0"/>
            </a:endParaRPr>
          </a:p>
          <a:p>
            <a:r>
              <a:rPr lang="ru-RU" sz="1100" b="0" i="0" u="none" strike="noStrike" baseline="0">
                <a:solidFill>
                  <a:schemeClr val="dk1"/>
                </a:solidFill>
                <a:latin typeface="+mn-lt"/>
                <a:ea typeface="+mn-ea"/>
                <a:cs typeface="Arial" panose="020B0604020202020204" pitchFamily="34" charset="0"/>
              </a:rPr>
              <a:t>** </a:t>
            </a:r>
            <a:r>
              <a:rPr lang="ru-RU" sz="1100" b="0" i="0">
                <a:solidFill>
                  <a:schemeClr val="dk1"/>
                </a:solidFill>
                <a:effectLst/>
                <a:latin typeface="+mn-lt"/>
                <a:ea typeface="+mn-ea"/>
                <a:cs typeface="+mn-cs"/>
              </a:rPr>
              <a:t>Модуль СОВ (система обнаружения вторжений уровня хоста) расширен дополнительным функционалом</a:t>
            </a:r>
            <a:r>
              <a:rPr lang="ru-RU" sz="1100" b="1" i="0">
                <a:solidFill>
                  <a:schemeClr val="dk1"/>
                </a:solidFill>
                <a:effectLst/>
                <a:latin typeface="+mn-lt"/>
                <a:ea typeface="+mn-ea"/>
                <a:cs typeface="+mn-cs"/>
              </a:rPr>
              <a:t> </a:t>
            </a:r>
            <a:r>
              <a:rPr lang="ru-RU" sz="1100" b="0" i="0">
                <a:solidFill>
                  <a:schemeClr val="dk1"/>
                </a:solidFill>
                <a:effectLst/>
                <a:latin typeface="+mn-lt"/>
                <a:ea typeface="+mn-ea"/>
                <a:cs typeface="+mn-cs"/>
              </a:rPr>
              <a:t>Система обнаружения и реагирования (СОР)</a:t>
            </a:r>
            <a:endParaRPr lang="ru-RU">
              <a:effectLst/>
            </a:endParaRPr>
          </a:p>
          <a:p>
            <a:r>
              <a:rPr lang="ru-RU" sz="1100" b="0" i="0" u="none" strike="noStrike" baseline="0">
                <a:solidFill>
                  <a:schemeClr val="dk1"/>
                </a:solidFill>
                <a:latin typeface="+mn-lt"/>
                <a:ea typeface="+mn-ea"/>
                <a:cs typeface="Arial" panose="020B0604020202020204" pitchFamily="34" charset="0"/>
              </a:rPr>
              <a:t>*** На основании статьи № 149 п. 2 пп. 26 НК РФ стоимость передаваемых неисключительных прав на используемое программное обеспечение не облагается НДС.</a:t>
            </a:r>
          </a:p>
          <a:p>
            <a:r>
              <a:rPr lang="ru-RU" sz="1100" b="0" i="0" u="none" strike="noStrike" baseline="0">
                <a:solidFill>
                  <a:schemeClr val="dk1"/>
                </a:solidFill>
                <a:latin typeface="+mn-lt"/>
                <a:ea typeface="+mn-ea"/>
                <a:cs typeface="Arial" panose="020B0604020202020204" pitchFamily="34" charset="0"/>
              </a:rPr>
              <a:t>**</a:t>
            </a:r>
            <a:r>
              <a:rPr lang="en-US" sz="1100" b="0" i="0" u="none" strike="noStrike" baseline="0">
                <a:solidFill>
                  <a:schemeClr val="dk1"/>
                </a:solidFill>
                <a:latin typeface="+mn-lt"/>
                <a:ea typeface="+mn-ea"/>
                <a:cs typeface="Arial" panose="020B0604020202020204" pitchFamily="34" charset="0"/>
              </a:rPr>
              <a:t>*</a:t>
            </a:r>
            <a:r>
              <a:rPr lang="ru-RU" sz="1100" b="0" i="0" u="none" strike="noStrike" baseline="0">
                <a:solidFill>
                  <a:schemeClr val="dk1"/>
                </a:solidFill>
                <a:latin typeface="+mn-lt"/>
                <a:ea typeface="+mn-ea"/>
                <a:cs typeface="Arial" panose="020B0604020202020204" pitchFamily="34" charset="0"/>
              </a:rPr>
              <a:t>* В стоимость входит НДС 2</a:t>
            </a:r>
            <a:r>
              <a:rPr lang="en-US" sz="1100" b="0" i="0" u="none" strike="noStrike" baseline="0">
                <a:solidFill>
                  <a:schemeClr val="dk1"/>
                </a:solidFill>
                <a:latin typeface="+mn-lt"/>
                <a:ea typeface="+mn-ea"/>
                <a:cs typeface="Arial" panose="020B0604020202020204" pitchFamily="34" charset="0"/>
              </a:rPr>
              <a:t>2</a:t>
            </a:r>
            <a:r>
              <a:rPr lang="ru-RU" sz="1100" b="0" i="0" u="none" strike="noStrike" baseline="0">
                <a:solidFill>
                  <a:schemeClr val="dk1"/>
                </a:solidFill>
                <a:latin typeface="+mn-lt"/>
                <a:ea typeface="+mn-ea"/>
                <a:cs typeface="Arial" panose="020B0604020202020204" pitchFamily="34" charset="0"/>
              </a:rPr>
              <a:t>%.</a:t>
            </a:r>
          </a:p>
        </xdr:txBody>
      </xdr:sp>
      <xdr:cxnSp macro="">
        <xdr:nvCxnSpPr>
          <xdr:cNvPr id="7" name="Прямая соединительная линия 6">
            <a:extLst>
              <a:ext uri="{FF2B5EF4-FFF2-40B4-BE49-F238E27FC236}">
                <a16:creationId xmlns:a16="http://schemas.microsoft.com/office/drawing/2014/main" xmlns="" id="{00000000-0008-0000-0400-000007000000}"/>
              </a:ext>
            </a:extLst>
          </xdr:cNvPr>
          <xdr:cNvCxnSpPr/>
        </xdr:nvCxnSpPr>
        <xdr:spPr>
          <a:xfrm flipV="1">
            <a:off x="162597" y="17178919"/>
            <a:ext cx="12982441" cy="1006"/>
          </a:xfrm>
          <a:prstGeom prst="line">
            <a:avLst/>
          </a:prstGeom>
        </xdr:spPr>
        <xdr:style>
          <a:lnRef idx="1">
            <a:schemeClr val="dk1"/>
          </a:lnRef>
          <a:fillRef idx="0">
            <a:schemeClr val="dk1"/>
          </a:fillRef>
          <a:effectRef idx="0">
            <a:schemeClr val="dk1"/>
          </a:effectRef>
          <a:fontRef idx="minor">
            <a:schemeClr val="tx1"/>
          </a:fontRef>
        </xdr:style>
      </xdr:cxnSp>
    </xdr:grpSp>
    <xdr:clientData/>
  </xdr:twoCellAnchor>
  <xdr:twoCellAnchor editAs="oneCell">
    <xdr:from>
      <xdr:col>0</xdr:col>
      <xdr:colOff>0</xdr:colOff>
      <xdr:row>0</xdr:row>
      <xdr:rowOff>1</xdr:rowOff>
    </xdr:from>
    <xdr:to>
      <xdr:col>12</xdr:col>
      <xdr:colOff>79375</xdr:colOff>
      <xdr:row>1</xdr:row>
      <xdr:rowOff>1052546</xdr:rowOff>
    </xdr:to>
    <xdr:pic>
      <xdr:nvPicPr>
        <xdr:cNvPr id="11" name="Рисунок 10">
          <a:hlinkClick xmlns:r="http://schemas.openxmlformats.org/officeDocument/2006/relationships" r:id="rId1"/>
          <a:extLst>
            <a:ext uri="{FF2B5EF4-FFF2-40B4-BE49-F238E27FC236}">
              <a16:creationId xmlns:a16="http://schemas.microsoft.com/office/drawing/2014/main" xmlns="" id="{00000000-0008-0000-0400-00000B000000}"/>
            </a:ext>
          </a:extLst>
        </xdr:cNvPr>
        <xdr:cNvPicPr>
          <a:picLocks noChangeAspect="1"/>
        </xdr:cNvPicPr>
      </xdr:nvPicPr>
      <xdr:blipFill>
        <a:blip xmlns:r="http://schemas.openxmlformats.org/officeDocument/2006/relationships" r:embed="rId2"/>
        <a:stretch>
          <a:fillRect/>
        </a:stretch>
      </xdr:blipFill>
      <xdr:spPr>
        <a:xfrm>
          <a:off x="0" y="1"/>
          <a:ext cx="13239750" cy="124304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xdr:col>
          <xdr:colOff>3686175</xdr:colOff>
          <xdr:row>32</xdr:row>
          <xdr:rowOff>0</xdr:rowOff>
        </xdr:from>
        <xdr:to>
          <xdr:col>3</xdr:col>
          <xdr:colOff>47625</xdr:colOff>
          <xdr:row>32</xdr:row>
          <xdr:rowOff>180975</xdr:rowOff>
        </xdr:to>
        <xdr:sp macro="" textlink="">
          <xdr:nvSpPr>
            <xdr:cNvPr id="49155" name="Check Box 3" hidden="1">
              <a:extLst>
                <a:ext uri="{63B3BB69-23CF-44E3-9099-C40C66FF867C}">
                  <a14:compatExt spid="_x0000_s49155"/>
                </a:ext>
                <a:ext uri="{FF2B5EF4-FFF2-40B4-BE49-F238E27FC236}">
                  <a16:creationId xmlns:a16="http://schemas.microsoft.com/office/drawing/2014/main" xmlns="" id="{00000000-0008-0000-0400-000003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0</xdr:colOff>
      <xdr:row>33</xdr:row>
      <xdr:rowOff>518583</xdr:rowOff>
    </xdr:from>
    <xdr:to>
      <xdr:col>3</xdr:col>
      <xdr:colOff>179915</xdr:colOff>
      <xdr:row>35</xdr:row>
      <xdr:rowOff>52915</xdr:rowOff>
    </xdr:to>
    <xdr:sp macro="" textlink="">
      <xdr:nvSpPr>
        <xdr:cNvPr id="16" name="Прямоугольник 15">
          <a:hlinkClick xmlns:r="http://schemas.openxmlformats.org/officeDocument/2006/relationships" r:id="rId3"/>
          <a:extLst>
            <a:ext uri="{FF2B5EF4-FFF2-40B4-BE49-F238E27FC236}">
              <a16:creationId xmlns:a16="http://schemas.microsoft.com/office/drawing/2014/main" xmlns="" id="{00000000-0008-0000-0400-000010000000}"/>
            </a:ext>
          </a:extLst>
        </xdr:cNvPr>
        <xdr:cNvSpPr/>
      </xdr:nvSpPr>
      <xdr:spPr>
        <a:xfrm>
          <a:off x="0" y="8862483"/>
          <a:ext cx="6847415" cy="27728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1">
              <a:latin typeface="+mn-lt"/>
              <a:cs typeface="Arial" panose="020B0604020202020204" pitchFamily="34" charset="0"/>
            </a:rPr>
            <a:t>*</a:t>
          </a:r>
          <a:r>
            <a:rPr lang="ru-RU" sz="1100" b="1">
              <a:latin typeface="+mn-lt"/>
              <a:cs typeface="Arial" panose="020B0604020202020204" pitchFamily="34" charset="0"/>
            </a:rPr>
            <a:t>БОЛЕЕ ПОЛНЫЙ СПИСОК ВАРИАНТОВ ЕЦУ ВО ВКЛАДКЕ ЕЦУ</a:t>
          </a:r>
          <a:r>
            <a:rPr lang="ru-RU" sz="1100" b="1" baseline="0">
              <a:latin typeface="+mn-lt"/>
              <a:cs typeface="Arial" panose="020B0604020202020204" pitchFamily="34" charset="0"/>
            </a:rPr>
            <a:t> </a:t>
          </a:r>
          <a:r>
            <a:rPr lang="en-US" sz="1100" b="1" baseline="0">
              <a:latin typeface="+mn-lt"/>
              <a:cs typeface="Arial" panose="020B0604020202020204" pitchFamily="34" charset="0"/>
            </a:rPr>
            <a:t>DALLAS LOCK      </a:t>
          </a:r>
          <a:r>
            <a:rPr lang="en-US" sz="1100" b="1">
              <a:latin typeface="+mn-lt"/>
              <a:cs typeface="Arial" panose="020B0604020202020204" pitchFamily="34" charset="0"/>
            </a:rPr>
            <a:t>&gt;&gt;</a:t>
          </a:r>
          <a:endParaRPr lang="ru-RU" sz="1100" b="1">
            <a:latin typeface="+mn-lt"/>
            <a:cs typeface="Arial" panose="020B0604020202020204" pitchFamily="34" charset="0"/>
          </a:endParaRPr>
        </a:p>
      </xdr:txBody>
    </xdr:sp>
    <xdr:clientData/>
  </xdr:twoCellAnchor>
  <mc:AlternateContent xmlns:mc="http://schemas.openxmlformats.org/markup-compatibility/2006">
    <mc:Choice xmlns:a14="http://schemas.microsoft.com/office/drawing/2010/main" Requires="a14">
      <xdr:twoCellAnchor editAs="oneCell">
        <xdr:from>
          <xdr:col>9</xdr:col>
          <xdr:colOff>571500</xdr:colOff>
          <xdr:row>32</xdr:row>
          <xdr:rowOff>0</xdr:rowOff>
        </xdr:from>
        <xdr:to>
          <xdr:col>10</xdr:col>
          <xdr:colOff>0</xdr:colOff>
          <xdr:row>33</xdr:row>
          <xdr:rowOff>0</xdr:rowOff>
        </xdr:to>
        <xdr:sp macro="" textlink="">
          <xdr:nvSpPr>
            <xdr:cNvPr id="49169" name="Check Box 17" hidden="1">
              <a:extLst>
                <a:ext uri="{63B3BB69-23CF-44E3-9099-C40C66FF867C}">
                  <a14:compatExt spid="_x0000_s49169"/>
                </a:ext>
                <a:ext uri="{FF2B5EF4-FFF2-40B4-BE49-F238E27FC236}">
                  <a16:creationId xmlns:a16="http://schemas.microsoft.com/office/drawing/2014/main" xmlns="" id="{00000000-0008-0000-0400-000011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203200</xdr:colOff>
      <xdr:row>11</xdr:row>
      <xdr:rowOff>8467</xdr:rowOff>
    </xdr:from>
    <xdr:to>
      <xdr:col>1</xdr:col>
      <xdr:colOff>228600</xdr:colOff>
      <xdr:row>13</xdr:row>
      <xdr:rowOff>787400</xdr:rowOff>
    </xdr:to>
    <xdr:cxnSp macro="">
      <xdr:nvCxnSpPr>
        <xdr:cNvPr id="14" name="Прямая соединительная линия 13">
          <a:extLst>
            <a:ext uri="{FF2B5EF4-FFF2-40B4-BE49-F238E27FC236}">
              <a16:creationId xmlns:a16="http://schemas.microsoft.com/office/drawing/2014/main" xmlns="" id="{00000000-0008-0000-0400-00000E000000}"/>
            </a:ext>
          </a:extLst>
        </xdr:cNvPr>
        <xdr:cNvCxnSpPr/>
      </xdr:nvCxnSpPr>
      <xdr:spPr>
        <a:xfrm flipH="1">
          <a:off x="296333" y="4318000"/>
          <a:ext cx="25400" cy="1811867"/>
        </a:xfrm>
        <a:prstGeom prst="line">
          <a:avLst/>
        </a:prstGeom>
        <a:ln w="19050">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1</xdr:col>
          <xdr:colOff>104775</xdr:colOff>
          <xdr:row>12</xdr:row>
          <xdr:rowOff>142875</xdr:rowOff>
        </xdr:from>
        <xdr:to>
          <xdr:col>1</xdr:col>
          <xdr:colOff>314325</xdr:colOff>
          <xdr:row>12</xdr:row>
          <xdr:rowOff>361950</xdr:rowOff>
        </xdr:to>
        <xdr:sp macro="" textlink="">
          <xdr:nvSpPr>
            <xdr:cNvPr id="49170" name="Check Box 18" hidden="1">
              <a:extLst>
                <a:ext uri="{63B3BB69-23CF-44E3-9099-C40C66FF867C}">
                  <a14:compatExt spid="_x0000_s49170"/>
                </a:ext>
                <a:ext uri="{FF2B5EF4-FFF2-40B4-BE49-F238E27FC236}">
                  <a16:creationId xmlns:a16="http://schemas.microsoft.com/office/drawing/2014/main" xmlns="" id="{00000000-0008-0000-0400-000012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13</xdr:row>
          <xdr:rowOff>276225</xdr:rowOff>
        </xdr:from>
        <xdr:to>
          <xdr:col>1</xdr:col>
          <xdr:colOff>285750</xdr:colOff>
          <xdr:row>13</xdr:row>
          <xdr:rowOff>523875</xdr:rowOff>
        </xdr:to>
        <xdr:sp macro="" textlink="">
          <xdr:nvSpPr>
            <xdr:cNvPr id="49171" name="Check Box 19" hidden="1">
              <a:extLst>
                <a:ext uri="{63B3BB69-23CF-44E3-9099-C40C66FF867C}">
                  <a14:compatExt spid="_x0000_s49171"/>
                </a:ext>
                <a:ext uri="{FF2B5EF4-FFF2-40B4-BE49-F238E27FC236}">
                  <a16:creationId xmlns:a16="http://schemas.microsoft.com/office/drawing/2014/main" xmlns="" id="{00000000-0008-0000-0400-000013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11</xdr:row>
          <xdr:rowOff>66675</xdr:rowOff>
        </xdr:from>
        <xdr:to>
          <xdr:col>1</xdr:col>
          <xdr:colOff>323850</xdr:colOff>
          <xdr:row>11</xdr:row>
          <xdr:rowOff>438150</xdr:rowOff>
        </xdr:to>
        <xdr:sp macro="" textlink="">
          <xdr:nvSpPr>
            <xdr:cNvPr id="49172" name="Check Box 20" hidden="1">
              <a:extLst>
                <a:ext uri="{63B3BB69-23CF-44E3-9099-C40C66FF867C}">
                  <a14:compatExt spid="_x0000_s49172"/>
                </a:ext>
                <a:ext uri="{FF2B5EF4-FFF2-40B4-BE49-F238E27FC236}">
                  <a16:creationId xmlns:a16="http://schemas.microsoft.com/office/drawing/2014/main" xmlns="" id="{00000000-0008-0000-0400-000014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3676650</xdr:colOff>
          <xdr:row>9</xdr:row>
          <xdr:rowOff>142875</xdr:rowOff>
        </xdr:from>
        <xdr:to>
          <xdr:col>2</xdr:col>
          <xdr:colOff>3905250</xdr:colOff>
          <xdr:row>11</xdr:row>
          <xdr:rowOff>38100</xdr:rowOff>
        </xdr:to>
        <xdr:sp macro="" textlink="">
          <xdr:nvSpPr>
            <xdr:cNvPr id="49173" name="Check Box 21" hidden="1">
              <a:extLst>
                <a:ext uri="{63B3BB69-23CF-44E3-9099-C40C66FF867C}">
                  <a14:compatExt spid="_x0000_s49173"/>
                </a:ext>
                <a:ext uri="{FF2B5EF4-FFF2-40B4-BE49-F238E27FC236}">
                  <a16:creationId xmlns:a16="http://schemas.microsoft.com/office/drawing/2014/main" xmlns="" id="{00000000-0008-0000-0400-000015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561975</xdr:colOff>
          <xdr:row>9</xdr:row>
          <xdr:rowOff>142875</xdr:rowOff>
        </xdr:from>
        <xdr:to>
          <xdr:col>10</xdr:col>
          <xdr:colOff>19050</xdr:colOff>
          <xdr:row>11</xdr:row>
          <xdr:rowOff>38100</xdr:rowOff>
        </xdr:to>
        <xdr:sp macro="" textlink="">
          <xdr:nvSpPr>
            <xdr:cNvPr id="49174" name="Check Box 22" hidden="1">
              <a:extLst>
                <a:ext uri="{63B3BB69-23CF-44E3-9099-C40C66FF867C}">
                  <a14:compatExt spid="_x0000_s49174"/>
                </a:ext>
                <a:ext uri="{FF2B5EF4-FFF2-40B4-BE49-F238E27FC236}">
                  <a16:creationId xmlns:a16="http://schemas.microsoft.com/office/drawing/2014/main" xmlns="" id="{00000000-0008-0000-0400-000016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19261</xdr:colOff>
      <xdr:row>61</xdr:row>
      <xdr:rowOff>47324</xdr:rowOff>
    </xdr:from>
    <xdr:to>
      <xdr:col>12</xdr:col>
      <xdr:colOff>88900</xdr:colOff>
      <xdr:row>64</xdr:row>
      <xdr:rowOff>83577</xdr:rowOff>
    </xdr:to>
    <xdr:pic>
      <xdr:nvPicPr>
        <xdr:cNvPr id="22" name="Рисунок 21">
          <a:extLst>
            <a:ext uri="{FF2B5EF4-FFF2-40B4-BE49-F238E27FC236}">
              <a16:creationId xmlns:a16="http://schemas.microsoft.com/office/drawing/2014/main" xmlns="" id="{00000000-0008-0000-0400-000016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04986" y="20354624"/>
          <a:ext cx="13166514" cy="607753"/>
        </a:xfrm>
        <a:prstGeom prst="rect">
          <a:avLst/>
        </a:prstGeom>
      </xdr:spPr>
    </xdr:pic>
    <xdr:clientData/>
  </xdr:twoCellAnchor>
  <xdr:twoCellAnchor editAs="oneCell">
    <xdr:from>
      <xdr:col>1</xdr:col>
      <xdr:colOff>21166</xdr:colOff>
      <xdr:row>65</xdr:row>
      <xdr:rowOff>9523</xdr:rowOff>
    </xdr:from>
    <xdr:to>
      <xdr:col>12</xdr:col>
      <xdr:colOff>98425</xdr:colOff>
      <xdr:row>69</xdr:row>
      <xdr:rowOff>88586</xdr:rowOff>
    </xdr:to>
    <xdr:pic>
      <xdr:nvPicPr>
        <xdr:cNvPr id="9" name="Рисунок 8">
          <a:extLst>
            <a:ext uri="{FF2B5EF4-FFF2-40B4-BE49-F238E27FC236}">
              <a16:creationId xmlns:a16="http://schemas.microsoft.com/office/drawing/2014/main" xmlns="" id="{00000000-0008-0000-0400-000009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00541" y="21075648"/>
          <a:ext cx="13158259" cy="841063"/>
        </a:xfrm>
        <a:prstGeom prst="rect">
          <a:avLst/>
        </a:prstGeom>
      </xdr:spPr>
    </xdr:pic>
    <xdr:clientData/>
  </xdr:twoCellAnchor>
  <xdr:twoCellAnchor editAs="oneCell">
    <xdr:from>
      <xdr:col>0</xdr:col>
      <xdr:colOff>9526</xdr:colOff>
      <xdr:row>35</xdr:row>
      <xdr:rowOff>727711</xdr:rowOff>
    </xdr:from>
    <xdr:to>
      <xdr:col>13</xdr:col>
      <xdr:colOff>19051</xdr:colOff>
      <xdr:row>36</xdr:row>
      <xdr:rowOff>22861</xdr:rowOff>
    </xdr:to>
    <xdr:pic>
      <xdr:nvPicPr>
        <xdr:cNvPr id="13" name="Рисунок 12">
          <a:extLst>
            <a:ext uri="{FF2B5EF4-FFF2-40B4-BE49-F238E27FC236}">
              <a16:creationId xmlns:a16="http://schemas.microsoft.com/office/drawing/2014/main" xmlns="" id="{00000000-0008-0000-0400-00000D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9526" y="13100686"/>
          <a:ext cx="13296900" cy="80010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xdr:col>
          <xdr:colOff>3695700</xdr:colOff>
          <xdr:row>5</xdr:row>
          <xdr:rowOff>85725</xdr:rowOff>
        </xdr:from>
        <xdr:to>
          <xdr:col>3</xdr:col>
          <xdr:colOff>28575</xdr:colOff>
          <xdr:row>7</xdr:row>
          <xdr:rowOff>9525</xdr:rowOff>
        </xdr:to>
        <xdr:sp macro="" textlink="">
          <xdr:nvSpPr>
            <xdr:cNvPr id="49175" name="Check Box 23" hidden="1">
              <a:extLst>
                <a:ext uri="{63B3BB69-23CF-44E3-9099-C40C66FF867C}">
                  <a14:compatExt spid="_x0000_s49175"/>
                </a:ext>
                <a:ext uri="{FF2B5EF4-FFF2-40B4-BE49-F238E27FC236}">
                  <a16:creationId xmlns:a16="http://schemas.microsoft.com/office/drawing/2014/main" xmlns="" id="{00000000-0008-0000-0400-000017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561975</xdr:colOff>
          <xdr:row>5</xdr:row>
          <xdr:rowOff>95250</xdr:rowOff>
        </xdr:from>
        <xdr:to>
          <xdr:col>10</xdr:col>
          <xdr:colOff>0</xdr:colOff>
          <xdr:row>7</xdr:row>
          <xdr:rowOff>19050</xdr:rowOff>
        </xdr:to>
        <xdr:sp macro="" textlink="">
          <xdr:nvSpPr>
            <xdr:cNvPr id="49176" name="Check Box 24" hidden="1">
              <a:extLst>
                <a:ext uri="{63B3BB69-23CF-44E3-9099-C40C66FF867C}">
                  <a14:compatExt spid="_x0000_s49176"/>
                </a:ext>
                <a:ext uri="{FF2B5EF4-FFF2-40B4-BE49-F238E27FC236}">
                  <a16:creationId xmlns:a16="http://schemas.microsoft.com/office/drawing/2014/main" xmlns="" id="{00000000-0008-0000-0400-000018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1</xdr:colOff>
      <xdr:row>35</xdr:row>
      <xdr:rowOff>8467</xdr:rowOff>
    </xdr:from>
    <xdr:to>
      <xdr:col>13</xdr:col>
      <xdr:colOff>19050</xdr:colOff>
      <xdr:row>35</xdr:row>
      <xdr:rowOff>739140</xdr:rowOff>
    </xdr:to>
    <xdr:pic>
      <xdr:nvPicPr>
        <xdr:cNvPr id="8" name="Рисунок 7">
          <a:extLst>
            <a:ext uri="{FF2B5EF4-FFF2-40B4-BE49-F238E27FC236}">
              <a16:creationId xmlns:a16="http://schemas.microsoft.com/office/drawing/2014/main" xmlns="" id="{00000000-0008-0000-0400-000008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 y="12381442"/>
          <a:ext cx="13306424" cy="730673"/>
        </a:xfrm>
        <a:prstGeom prst="rect">
          <a:avLst/>
        </a:prstGeom>
      </xdr:spPr>
    </xdr:pic>
    <xdr:clientData/>
  </xdr:twoCellAnchor>
  <xdr:twoCellAnchor>
    <xdr:from>
      <xdr:col>1</xdr:col>
      <xdr:colOff>203200</xdr:colOff>
      <xdr:row>22</xdr:row>
      <xdr:rowOff>8467</xdr:rowOff>
    </xdr:from>
    <xdr:to>
      <xdr:col>1</xdr:col>
      <xdr:colOff>228600</xdr:colOff>
      <xdr:row>24</xdr:row>
      <xdr:rowOff>787400</xdr:rowOff>
    </xdr:to>
    <xdr:cxnSp macro="">
      <xdr:nvCxnSpPr>
        <xdr:cNvPr id="40" name="Прямая соединительная линия 39">
          <a:extLst>
            <a:ext uri="{FF2B5EF4-FFF2-40B4-BE49-F238E27FC236}">
              <a16:creationId xmlns:a16="http://schemas.microsoft.com/office/drawing/2014/main" xmlns="" id="{00000000-0008-0000-0400-000028000000}"/>
            </a:ext>
          </a:extLst>
        </xdr:cNvPr>
        <xdr:cNvCxnSpPr/>
      </xdr:nvCxnSpPr>
      <xdr:spPr>
        <a:xfrm flipH="1">
          <a:off x="294640" y="3635587"/>
          <a:ext cx="25400" cy="1815253"/>
        </a:xfrm>
        <a:prstGeom prst="line">
          <a:avLst/>
        </a:prstGeom>
        <a:ln w="19050">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1</xdr:col>
          <xdr:colOff>104775</xdr:colOff>
          <xdr:row>23</xdr:row>
          <xdr:rowOff>142875</xdr:rowOff>
        </xdr:from>
        <xdr:to>
          <xdr:col>1</xdr:col>
          <xdr:colOff>314325</xdr:colOff>
          <xdr:row>23</xdr:row>
          <xdr:rowOff>361950</xdr:rowOff>
        </xdr:to>
        <xdr:sp macro="" textlink="">
          <xdr:nvSpPr>
            <xdr:cNvPr id="49191" name="Check Box 39" hidden="1">
              <a:extLst>
                <a:ext uri="{63B3BB69-23CF-44E3-9099-C40C66FF867C}">
                  <a14:compatExt spid="_x0000_s49191"/>
                </a:ext>
                <a:ext uri="{FF2B5EF4-FFF2-40B4-BE49-F238E27FC236}">
                  <a16:creationId xmlns:a16="http://schemas.microsoft.com/office/drawing/2014/main" xmlns="" id="{00000000-0008-0000-0400-000027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24</xdr:row>
          <xdr:rowOff>276225</xdr:rowOff>
        </xdr:from>
        <xdr:to>
          <xdr:col>1</xdr:col>
          <xdr:colOff>285750</xdr:colOff>
          <xdr:row>24</xdr:row>
          <xdr:rowOff>523875</xdr:rowOff>
        </xdr:to>
        <xdr:sp macro="" textlink="">
          <xdr:nvSpPr>
            <xdr:cNvPr id="49192" name="Check Box 40" hidden="1">
              <a:extLst>
                <a:ext uri="{63B3BB69-23CF-44E3-9099-C40C66FF867C}">
                  <a14:compatExt spid="_x0000_s49192"/>
                </a:ext>
                <a:ext uri="{FF2B5EF4-FFF2-40B4-BE49-F238E27FC236}">
                  <a16:creationId xmlns:a16="http://schemas.microsoft.com/office/drawing/2014/main" xmlns="" id="{00000000-0008-0000-0400-000028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22</xdr:row>
          <xdr:rowOff>66675</xdr:rowOff>
        </xdr:from>
        <xdr:to>
          <xdr:col>1</xdr:col>
          <xdr:colOff>323850</xdr:colOff>
          <xdr:row>22</xdr:row>
          <xdr:rowOff>438150</xdr:rowOff>
        </xdr:to>
        <xdr:sp macro="" textlink="">
          <xdr:nvSpPr>
            <xdr:cNvPr id="49193" name="Check Box 41" hidden="1">
              <a:extLst>
                <a:ext uri="{63B3BB69-23CF-44E3-9099-C40C66FF867C}">
                  <a14:compatExt spid="_x0000_s49193"/>
                </a:ext>
                <a:ext uri="{FF2B5EF4-FFF2-40B4-BE49-F238E27FC236}">
                  <a16:creationId xmlns:a16="http://schemas.microsoft.com/office/drawing/2014/main" xmlns="" id="{00000000-0008-0000-0400-000029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3686175</xdr:colOff>
          <xdr:row>20</xdr:row>
          <xdr:rowOff>123825</xdr:rowOff>
        </xdr:from>
        <xdr:to>
          <xdr:col>3</xdr:col>
          <xdr:colOff>9525</xdr:colOff>
          <xdr:row>22</xdr:row>
          <xdr:rowOff>28575</xdr:rowOff>
        </xdr:to>
        <xdr:sp macro="" textlink="">
          <xdr:nvSpPr>
            <xdr:cNvPr id="49194" name="Check Box 42" hidden="1">
              <a:extLst>
                <a:ext uri="{63B3BB69-23CF-44E3-9099-C40C66FF867C}">
                  <a14:compatExt spid="_x0000_s49194"/>
                </a:ext>
                <a:ext uri="{FF2B5EF4-FFF2-40B4-BE49-F238E27FC236}">
                  <a16:creationId xmlns:a16="http://schemas.microsoft.com/office/drawing/2014/main" xmlns="" id="{00000000-0008-0000-0400-00002A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590550</xdr:colOff>
          <xdr:row>20</xdr:row>
          <xdr:rowOff>133350</xdr:rowOff>
        </xdr:from>
        <xdr:to>
          <xdr:col>10</xdr:col>
          <xdr:colOff>47625</xdr:colOff>
          <xdr:row>22</xdr:row>
          <xdr:rowOff>38100</xdr:rowOff>
        </xdr:to>
        <xdr:sp macro="" textlink="">
          <xdr:nvSpPr>
            <xdr:cNvPr id="49195" name="Check Box 43" hidden="1">
              <a:extLst>
                <a:ext uri="{63B3BB69-23CF-44E3-9099-C40C66FF867C}">
                  <a14:compatExt spid="_x0000_s49195"/>
                </a:ext>
                <a:ext uri="{FF2B5EF4-FFF2-40B4-BE49-F238E27FC236}">
                  <a16:creationId xmlns:a16="http://schemas.microsoft.com/office/drawing/2014/main" xmlns="" id="{00000000-0008-0000-0400-00002B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3695700</xdr:colOff>
          <xdr:row>16</xdr:row>
          <xdr:rowOff>142875</xdr:rowOff>
        </xdr:from>
        <xdr:to>
          <xdr:col>3</xdr:col>
          <xdr:colOff>28575</xdr:colOff>
          <xdr:row>18</xdr:row>
          <xdr:rowOff>19050</xdr:rowOff>
        </xdr:to>
        <xdr:sp macro="" textlink="">
          <xdr:nvSpPr>
            <xdr:cNvPr id="49196" name="Check Box 44" hidden="1">
              <a:extLst>
                <a:ext uri="{63B3BB69-23CF-44E3-9099-C40C66FF867C}">
                  <a14:compatExt spid="_x0000_s49196"/>
                </a:ext>
                <a:ext uri="{FF2B5EF4-FFF2-40B4-BE49-F238E27FC236}">
                  <a16:creationId xmlns:a16="http://schemas.microsoft.com/office/drawing/2014/main" xmlns="" id="{00000000-0008-0000-0400-00002C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581025</xdr:colOff>
          <xdr:row>16</xdr:row>
          <xdr:rowOff>142875</xdr:rowOff>
        </xdr:from>
        <xdr:to>
          <xdr:col>10</xdr:col>
          <xdr:colOff>19050</xdr:colOff>
          <xdr:row>18</xdr:row>
          <xdr:rowOff>19050</xdr:rowOff>
        </xdr:to>
        <xdr:sp macro="" textlink="">
          <xdr:nvSpPr>
            <xdr:cNvPr id="49197" name="Check Box 45" hidden="1">
              <a:extLst>
                <a:ext uri="{63B3BB69-23CF-44E3-9099-C40C66FF867C}">
                  <a14:compatExt spid="_x0000_s49197"/>
                </a:ext>
                <a:ext uri="{FF2B5EF4-FFF2-40B4-BE49-F238E27FC236}">
                  <a16:creationId xmlns:a16="http://schemas.microsoft.com/office/drawing/2014/main" xmlns="" id="{00000000-0008-0000-0400-00002D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19049</xdr:colOff>
      <xdr:row>52</xdr:row>
      <xdr:rowOff>105631</xdr:rowOff>
    </xdr:from>
    <xdr:to>
      <xdr:col>12</xdr:col>
      <xdr:colOff>57149</xdr:colOff>
      <xdr:row>60</xdr:row>
      <xdr:rowOff>125209</xdr:rowOff>
    </xdr:to>
    <xdr:pic>
      <xdr:nvPicPr>
        <xdr:cNvPr id="10" name="Рисунок 9">
          <a:extLst>
            <a:ext uri="{FF2B5EF4-FFF2-40B4-BE49-F238E27FC236}">
              <a16:creationId xmlns:a16="http://schemas.microsoft.com/office/drawing/2014/main" xmlns="" id="{00000000-0008-0000-0400-00000A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rcRect/>
        <a:stretch/>
      </xdr:blipFill>
      <xdr:spPr>
        <a:xfrm>
          <a:off x="104774" y="18698431"/>
          <a:ext cx="13134975" cy="154357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182880</xdr:colOff>
      <xdr:row>8</xdr:row>
      <xdr:rowOff>9525</xdr:rowOff>
    </xdr:from>
    <xdr:to>
      <xdr:col>1</xdr:col>
      <xdr:colOff>194179</xdr:colOff>
      <xdr:row>11</xdr:row>
      <xdr:rowOff>502920</xdr:rowOff>
    </xdr:to>
    <xdr:cxnSp macro="">
      <xdr:nvCxnSpPr>
        <xdr:cNvPr id="32" name="Прямая соединительная линия 31">
          <a:extLst>
            <a:ext uri="{FF2B5EF4-FFF2-40B4-BE49-F238E27FC236}">
              <a16:creationId xmlns:a16="http://schemas.microsoft.com/office/drawing/2014/main" xmlns="" id="{00000000-0008-0000-0500-000020000000}"/>
            </a:ext>
          </a:extLst>
        </xdr:cNvPr>
        <xdr:cNvCxnSpPr/>
      </xdr:nvCxnSpPr>
      <xdr:spPr>
        <a:xfrm flipH="1">
          <a:off x="365760" y="3308985"/>
          <a:ext cx="11299" cy="2931795"/>
        </a:xfrm>
        <a:prstGeom prst="line">
          <a:avLst/>
        </a:prstGeom>
        <a:ln w="19050">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0</xdr:colOff>
      <xdr:row>34</xdr:row>
      <xdr:rowOff>104773</xdr:rowOff>
    </xdr:from>
    <xdr:to>
      <xdr:col>3</xdr:col>
      <xdr:colOff>0</xdr:colOff>
      <xdr:row>75</xdr:row>
      <xdr:rowOff>9524</xdr:rowOff>
    </xdr:to>
    <xdr:sp macro="" textlink="">
      <xdr:nvSpPr>
        <xdr:cNvPr id="4" name="TextBox 3">
          <a:extLst>
            <a:ext uri="{FF2B5EF4-FFF2-40B4-BE49-F238E27FC236}">
              <a16:creationId xmlns:a16="http://schemas.microsoft.com/office/drawing/2014/main" xmlns="" id="{00000000-0008-0000-0500-000004000000}"/>
            </a:ext>
          </a:extLst>
        </xdr:cNvPr>
        <xdr:cNvSpPr txBox="1"/>
      </xdr:nvSpPr>
      <xdr:spPr>
        <a:xfrm>
          <a:off x="133350" y="11306173"/>
          <a:ext cx="5753100" cy="771525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baseline="0">
              <a:solidFill>
                <a:schemeClr val="dk1"/>
              </a:solidFill>
              <a:effectLst/>
              <a:latin typeface="+mn-lt"/>
              <a:ea typeface="+mn-ea"/>
              <a:cs typeface="+mn-cs"/>
            </a:rPr>
            <a:t>Dallas Lock 8.0-K </a:t>
          </a:r>
          <a:endParaRPr lang="ru-RU" sz="1100" b="1" i="0" baseline="0">
            <a:solidFill>
              <a:schemeClr val="dk1"/>
            </a:solidFill>
            <a:effectLst/>
            <a:latin typeface="+mn-lt"/>
            <a:ea typeface="+mn-ea"/>
            <a:cs typeface="+mn-cs"/>
          </a:endParaRPr>
        </a:p>
        <a:p>
          <a:pPr algn="l"/>
          <a:r>
            <a:rPr lang="ru-RU" sz="1100" b="0" i="0" baseline="0">
              <a:solidFill>
                <a:schemeClr val="dk1"/>
              </a:solidFill>
              <a:effectLst/>
              <a:latin typeface="+mn-lt"/>
              <a:ea typeface="+mn-ea"/>
              <a:cs typeface="+mn-cs"/>
            </a:rPr>
            <a:t>Правило формирования цены на комплекты с </a:t>
          </a:r>
          <a:r>
            <a:rPr lang="en-US" sz="1100" b="0" i="0" baseline="0">
              <a:solidFill>
                <a:schemeClr val="dk1"/>
              </a:solidFill>
              <a:effectLst/>
              <a:latin typeface="+mn-lt"/>
              <a:ea typeface="+mn-ea"/>
              <a:cs typeface="+mn-cs"/>
            </a:rPr>
            <a:t>Dallas Lock 8.0-K</a:t>
          </a:r>
          <a:r>
            <a:rPr lang="ru-RU" sz="1100" b="0" i="0" baseline="0">
              <a:solidFill>
                <a:schemeClr val="dk1"/>
              </a:solidFill>
              <a:effectLst/>
              <a:latin typeface="+mn-lt"/>
              <a:ea typeface="+mn-ea"/>
              <a:cs typeface="+mn-cs"/>
            </a:rPr>
            <a:t>: </a:t>
          </a:r>
          <a:r>
            <a:rPr lang="en-US" sz="1100" b="0" i="0" baseline="0">
              <a:solidFill>
                <a:sysClr val="windowText" lastClr="000000"/>
              </a:solidFill>
              <a:effectLst/>
              <a:latin typeface="+mn-lt"/>
              <a:ea typeface="+mn-ea"/>
              <a:cs typeface="+mn-cs"/>
            </a:rPr>
            <a:t>Dallas Lock-</a:t>
          </a:r>
          <a:r>
            <a:rPr lang="ru-RU" sz="1100" b="0" i="0" baseline="0">
              <a:solidFill>
                <a:sysClr val="windowText" lastClr="000000"/>
              </a:solidFill>
              <a:effectLst/>
              <a:latin typeface="+mn-lt"/>
              <a:ea typeface="+mn-ea"/>
              <a:cs typeface="+mn-cs"/>
            </a:rPr>
            <a:t>К</a:t>
          </a:r>
          <a:r>
            <a:rPr lang="ru-RU" sz="1100" b="0" i="0" baseline="0">
              <a:solidFill>
                <a:srgbClr val="FF0000"/>
              </a:solidFill>
              <a:effectLst/>
              <a:latin typeface="+mn-lt"/>
              <a:ea typeface="+mn-ea"/>
              <a:cs typeface="+mn-cs"/>
            </a:rPr>
            <a:t> </a:t>
          </a:r>
          <a:r>
            <a:rPr lang="ru-RU" sz="1100" b="0" i="0" baseline="0">
              <a:solidFill>
                <a:schemeClr val="dk1"/>
              </a:solidFill>
              <a:effectLst/>
              <a:latin typeface="+mn-lt"/>
              <a:ea typeface="+mn-ea"/>
              <a:cs typeface="+mn-cs"/>
            </a:rPr>
            <a:t>Базовый суммируется со стоимостью дополнительных модулей. Сертифицированный комплект для установки СЗИ </a:t>
          </a:r>
          <a:r>
            <a:rPr lang="en-US" sz="1100" b="0" i="0" baseline="0">
              <a:solidFill>
                <a:schemeClr val="dk1"/>
              </a:solidFill>
              <a:effectLst/>
              <a:latin typeface="+mn-lt"/>
              <a:ea typeface="+mn-ea"/>
              <a:cs typeface="+mn-cs"/>
            </a:rPr>
            <a:t>Dallas Lock</a:t>
          </a:r>
          <a:r>
            <a:rPr lang="ru-RU" sz="1100" b="0" i="0" baseline="0">
              <a:solidFill>
                <a:schemeClr val="dk1"/>
              </a:solidFill>
              <a:effectLst/>
              <a:latin typeface="+mn-lt"/>
              <a:ea typeface="+mn-ea"/>
              <a:cs typeface="+mn-cs"/>
            </a:rPr>
            <a:t> 8.0-К</a:t>
          </a:r>
          <a:r>
            <a:rPr lang="en-US" sz="1100" b="0" i="0" baseline="0">
              <a:solidFill>
                <a:schemeClr val="dk1"/>
              </a:solidFill>
              <a:effectLst/>
              <a:latin typeface="+mn-lt"/>
              <a:ea typeface="+mn-ea"/>
              <a:cs typeface="+mn-cs"/>
            </a:rPr>
            <a:t> </a:t>
          </a:r>
          <a:r>
            <a:rPr lang="ru-RU" sz="1100" b="0" i="0" baseline="0">
              <a:solidFill>
                <a:schemeClr val="dk1"/>
              </a:solidFill>
              <a:effectLst/>
              <a:latin typeface="+mn-lt"/>
              <a:ea typeface="+mn-ea"/>
              <a:cs typeface="+mn-cs"/>
            </a:rPr>
            <a:t>на необходимое количество рабочих мест приобретается отдельно. </a:t>
          </a:r>
        </a:p>
        <a:p>
          <a:pPr algn="l"/>
          <a:endParaRPr lang="ru-RU" sz="1100" b="0" i="0" baseline="0">
            <a:solidFill>
              <a:schemeClr val="dk1"/>
            </a:solidFill>
            <a:effectLst/>
            <a:latin typeface="+mn-lt"/>
            <a:ea typeface="+mn-ea"/>
            <a:cs typeface="+mn-cs"/>
          </a:endParaRPr>
        </a:p>
        <a:p>
          <a:pPr algn="l"/>
          <a:r>
            <a:rPr lang="ru-RU" sz="1100" b="0" i="0" baseline="0">
              <a:solidFill>
                <a:schemeClr val="dk1"/>
              </a:solidFill>
              <a:effectLst/>
              <a:latin typeface="+mn-lt"/>
              <a:ea typeface="+mn-ea"/>
              <a:cs typeface="+mn-cs"/>
            </a:rPr>
            <a:t>В </a:t>
          </a:r>
          <a:r>
            <a:rPr lang="en-US" sz="1100" b="0" i="0" baseline="0">
              <a:solidFill>
                <a:schemeClr val="dk1"/>
              </a:solidFill>
              <a:effectLst/>
              <a:latin typeface="+mn-lt"/>
              <a:ea typeface="+mn-ea"/>
              <a:cs typeface="+mn-cs"/>
            </a:rPr>
            <a:t>Dallas Lock 8.0-</a:t>
          </a:r>
          <a:r>
            <a:rPr lang="ru-RU" sz="1100" b="0" i="0" baseline="0">
              <a:solidFill>
                <a:schemeClr val="dk1"/>
              </a:solidFill>
              <a:effectLst/>
              <a:latin typeface="+mn-lt"/>
              <a:ea typeface="+mn-ea"/>
              <a:cs typeface="+mn-cs"/>
            </a:rPr>
            <a:t>К Базовый входит </a:t>
          </a:r>
          <a:r>
            <a:rPr lang="ru-RU" sz="1100" b="1" i="0">
              <a:solidFill>
                <a:schemeClr val="dk1"/>
              </a:solidFill>
              <a:effectLst/>
              <a:latin typeface="+mn-lt"/>
              <a:ea typeface="+mn-ea"/>
              <a:cs typeface="+mn-cs"/>
            </a:rPr>
            <a:t>встроенный сканер уязвимостей ПО по БДУ ФСТЭК России </a:t>
          </a:r>
          <a:r>
            <a:rPr lang="ru-RU" sz="1100" b="0" i="0" baseline="0">
              <a:solidFill>
                <a:schemeClr val="dk1"/>
              </a:solidFill>
              <a:effectLst/>
              <a:latin typeface="+mn-lt"/>
              <a:ea typeface="+mn-ea"/>
              <a:cs typeface="+mn-cs"/>
            </a:rPr>
            <a:t>–</a:t>
          </a:r>
          <a:r>
            <a:rPr lang="ru-RU" sz="1100" b="0" i="0">
              <a:solidFill>
                <a:schemeClr val="dk1"/>
              </a:solidFill>
              <a:effectLst/>
              <a:latin typeface="+mn-lt"/>
              <a:ea typeface="+mn-ea"/>
              <a:cs typeface="+mn-cs"/>
            </a:rPr>
            <a:t> анализ установленного ПО и отчёт о найденных уязвимостях</a:t>
          </a:r>
          <a:r>
            <a:rPr lang="en-US" sz="1100" b="0" i="0">
              <a:solidFill>
                <a:schemeClr val="dk1"/>
              </a:solidFill>
              <a:effectLst/>
              <a:latin typeface="+mn-lt"/>
              <a:ea typeface="+mn-ea"/>
              <a:cs typeface="+mn-cs"/>
            </a:rPr>
            <a:t>.</a:t>
          </a:r>
          <a:r>
            <a:rPr lang="en-US" sz="1100" b="0" i="0" baseline="0">
              <a:solidFill>
                <a:schemeClr val="dk1"/>
              </a:solidFill>
              <a:effectLst/>
              <a:latin typeface="+mn-lt"/>
              <a:ea typeface="+mn-ea"/>
              <a:cs typeface="+mn-cs"/>
            </a:rPr>
            <a:t> </a:t>
          </a:r>
          <a:r>
            <a:rPr lang="ru-RU" sz="1100" b="0" i="0">
              <a:solidFill>
                <a:schemeClr val="dk1"/>
              </a:solidFill>
              <a:effectLst/>
              <a:latin typeface="+mn-lt"/>
              <a:ea typeface="+mn-ea"/>
              <a:cs typeface="+mn-cs"/>
            </a:rPr>
            <a:t>Сканер уязвимостей БДУ ФСТЭК «из коробки»: </a:t>
          </a:r>
          <a:r>
            <a:rPr lang="en-US" sz="1100" b="0" i="0">
              <a:solidFill>
                <a:schemeClr val="dk1"/>
              </a:solidFill>
              <a:effectLst/>
              <a:latin typeface="+mn-lt"/>
              <a:ea typeface="+mn-ea"/>
              <a:cs typeface="+mn-cs"/>
            </a:rPr>
            <a:t>Dallas Lock 8.0 </a:t>
          </a:r>
          <a:r>
            <a:rPr lang="ru-RU" sz="1100" b="0" i="0">
              <a:solidFill>
                <a:schemeClr val="dk1"/>
              </a:solidFill>
              <a:effectLst/>
              <a:latin typeface="+mn-lt"/>
              <a:ea typeface="+mn-ea"/>
              <a:cs typeface="+mn-cs"/>
            </a:rPr>
            <a:t>сам сверяет установленное на АРМ ПО с Банком данных угроз ФСТЭК России, формирует отчёт по найденным уязвимостям и фиксирует событие в журнале </a:t>
          </a:r>
          <a:r>
            <a:rPr lang="ru-RU" sz="1100" b="0" i="0" baseline="0">
              <a:solidFill>
                <a:schemeClr val="dk1"/>
              </a:solidFill>
              <a:effectLst/>
              <a:latin typeface="+mn-lt"/>
              <a:ea typeface="+mn-ea"/>
              <a:cs typeface="+mn-cs"/>
            </a:rPr>
            <a:t>–</a:t>
          </a:r>
          <a:r>
            <a:rPr lang="ru-RU" sz="1100" b="0" i="0">
              <a:solidFill>
                <a:schemeClr val="dk1"/>
              </a:solidFill>
              <a:effectLst/>
              <a:latin typeface="+mn-lt"/>
              <a:ea typeface="+mn-ea"/>
              <a:cs typeface="+mn-cs"/>
            </a:rPr>
            <a:t> контроль уязвимостей без закупки и интеграции стороннего сканера.</a:t>
          </a:r>
          <a:endParaRPr lang="en-US" sz="1100" b="0" i="0" baseline="0">
            <a:solidFill>
              <a:schemeClr val="dk1"/>
            </a:solidFill>
            <a:effectLst/>
            <a:latin typeface="+mn-lt"/>
            <a:ea typeface="+mn-ea"/>
            <a:cs typeface="+mn-cs"/>
          </a:endParaRPr>
        </a:p>
        <a:p>
          <a:pPr algn="l"/>
          <a:endParaRPr lang="en-US" sz="1100" b="0" i="0" baseline="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ru-RU" sz="1100" b="1" i="0" baseline="0">
              <a:solidFill>
                <a:schemeClr val="dk1"/>
              </a:solidFill>
              <a:effectLst/>
              <a:latin typeface="+mn-lt"/>
              <a:ea typeface="+mn-ea"/>
              <a:cs typeface="+mn-cs"/>
            </a:rPr>
            <a:t>При заказе </a:t>
          </a:r>
          <a:r>
            <a:rPr lang="en-US" sz="1100" b="1" i="0" baseline="0">
              <a:solidFill>
                <a:schemeClr val="dk1"/>
              </a:solidFill>
              <a:effectLst/>
              <a:latin typeface="+mn-lt"/>
              <a:ea typeface="+mn-ea"/>
              <a:cs typeface="+mn-cs"/>
            </a:rPr>
            <a:t>Dallas Lock </a:t>
          </a:r>
          <a:r>
            <a:rPr lang="ru-RU" sz="1100" b="1" i="0" baseline="0">
              <a:solidFill>
                <a:schemeClr val="dk1"/>
              </a:solidFill>
              <a:effectLst/>
              <a:latin typeface="+mn-lt"/>
              <a:ea typeface="+mn-ea"/>
              <a:cs typeface="+mn-cs"/>
            </a:rPr>
            <a:t>8.0-К</a:t>
          </a:r>
          <a:r>
            <a:rPr lang="en-US" sz="1100" b="1" i="0" baseline="0">
              <a:solidFill>
                <a:schemeClr val="dk1"/>
              </a:solidFill>
              <a:effectLst/>
              <a:latin typeface="+mn-lt"/>
              <a:ea typeface="+mn-ea"/>
              <a:cs typeface="+mn-cs"/>
            </a:rPr>
            <a:t> </a:t>
          </a:r>
          <a:r>
            <a:rPr lang="ru-RU" sz="1100" b="1" i="0" baseline="0">
              <a:solidFill>
                <a:schemeClr val="dk1"/>
              </a:solidFill>
              <a:effectLst/>
              <a:latin typeface="+mn-lt"/>
              <a:ea typeface="+mn-ea"/>
              <a:cs typeface="+mn-cs"/>
            </a:rPr>
            <a:t>(НСД</a:t>
          </a:r>
          <a:r>
            <a:rPr lang="en-US" sz="1100" b="1" i="0" baseline="0">
              <a:solidFill>
                <a:schemeClr val="dk1"/>
              </a:solidFill>
              <a:effectLst/>
              <a:latin typeface="+mn-lt"/>
              <a:ea typeface="+mn-ea"/>
              <a:cs typeface="+mn-cs"/>
            </a:rPr>
            <a:t>, </a:t>
          </a:r>
          <a:r>
            <a:rPr lang="ru-RU" sz="1100" b="1" i="0" baseline="0">
              <a:solidFill>
                <a:schemeClr val="dk1"/>
              </a:solidFill>
              <a:effectLst/>
              <a:latin typeface="+mn-lt"/>
              <a:ea typeface="+mn-ea"/>
              <a:cs typeface="+mn-cs"/>
            </a:rPr>
            <a:t>СКН) и всех модулей</a:t>
          </a:r>
          <a:r>
            <a:rPr lang="en-US" sz="1100" b="1" i="0" baseline="0">
              <a:solidFill>
                <a:schemeClr val="dk1"/>
              </a:solidFill>
              <a:effectLst/>
              <a:latin typeface="+mn-lt"/>
              <a:ea typeface="+mn-ea"/>
              <a:cs typeface="+mn-cs"/>
            </a:rPr>
            <a:t>:</a:t>
          </a:r>
          <a:r>
            <a:rPr lang="ru-RU" sz="1100" b="1" i="0" baseline="0">
              <a:solidFill>
                <a:schemeClr val="dk1"/>
              </a:solidFill>
              <a:effectLst/>
              <a:latin typeface="+mn-lt"/>
              <a:ea typeface="+mn-ea"/>
              <a:cs typeface="+mn-cs"/>
            </a:rPr>
            <a:t> </a:t>
          </a:r>
          <a:r>
            <a:rPr lang="ru-RU" sz="1100" b="0" i="0" baseline="0">
              <a:solidFill>
                <a:schemeClr val="dk1"/>
              </a:solidFill>
              <a:effectLst/>
              <a:latin typeface="+mn-lt"/>
              <a:ea typeface="+mn-ea"/>
              <a:cs typeface="+mn-cs"/>
            </a:rPr>
            <a:t>Модуля «Системы обнаружения вторжений»</a:t>
          </a:r>
          <a:r>
            <a:rPr lang="en-US" sz="1100" b="0" i="0" baseline="0">
              <a:solidFill>
                <a:schemeClr val="dk1"/>
              </a:solidFill>
              <a:effectLst/>
              <a:latin typeface="+mn-lt"/>
              <a:ea typeface="+mn-ea"/>
              <a:cs typeface="+mn-cs"/>
            </a:rPr>
            <a:t>, </a:t>
          </a:r>
          <a:r>
            <a:rPr lang="ru-RU" sz="1100" b="0" i="0" baseline="0">
              <a:solidFill>
                <a:schemeClr val="dk1"/>
              </a:solidFill>
              <a:effectLst/>
              <a:latin typeface="+mn-lt"/>
              <a:ea typeface="+mn-ea"/>
              <a:cs typeface="+mn-cs"/>
            </a:rPr>
            <a:t>модуля «Межсетевой экран»</a:t>
          </a:r>
          <a:r>
            <a:rPr lang="en-US" sz="1100" b="0" i="0" baseline="0">
              <a:solidFill>
                <a:schemeClr val="dk1"/>
              </a:solidFill>
              <a:effectLst/>
              <a:latin typeface="+mn-lt"/>
              <a:ea typeface="+mn-ea"/>
              <a:cs typeface="+mn-cs"/>
            </a:rPr>
            <a:t>, </a:t>
          </a:r>
          <a:r>
            <a:rPr lang="ru-RU" sz="1100" b="0" i="0" baseline="0">
              <a:solidFill>
                <a:schemeClr val="dk1"/>
              </a:solidFill>
              <a:effectLst/>
              <a:latin typeface="+mn-lt"/>
              <a:ea typeface="+mn-ea"/>
              <a:cs typeface="+mn-cs"/>
            </a:rPr>
            <a:t> Модуля «Резервное копирование и восстановление»</a:t>
          </a:r>
          <a:r>
            <a:rPr lang="en-US" sz="1100" b="0" i="0" baseline="0">
              <a:solidFill>
                <a:schemeClr val="dk1"/>
              </a:solidFill>
              <a:effectLst/>
              <a:latin typeface="+mn-lt"/>
              <a:ea typeface="+mn-ea"/>
              <a:cs typeface="+mn-cs"/>
            </a:rPr>
            <a:t>, </a:t>
          </a:r>
          <a:r>
            <a:rPr lang="ru-RU" sz="1100" b="0" i="0" baseline="0">
              <a:solidFill>
                <a:schemeClr val="dk1"/>
              </a:solidFill>
              <a:effectLst/>
              <a:latin typeface="+mn-lt"/>
              <a:ea typeface="+mn-ea"/>
              <a:cs typeface="+mn-cs"/>
            </a:rPr>
            <a:t>Модуля «СКН уровня отчуждения (переноса) информации»</a:t>
          </a:r>
          <a:r>
            <a:rPr lang="en-US" sz="1100" b="0" i="0" baseline="0">
              <a:solidFill>
                <a:schemeClr val="dk1"/>
              </a:solidFill>
              <a:effectLst/>
              <a:latin typeface="+mn-lt"/>
              <a:ea typeface="+mn-ea"/>
              <a:cs typeface="+mn-cs"/>
            </a:rPr>
            <a:t> </a:t>
          </a:r>
          <a:r>
            <a:rPr lang="ru-RU" sz="1100" b="1" i="0" baseline="0">
              <a:solidFill>
                <a:schemeClr val="dk1"/>
              </a:solidFill>
              <a:effectLst/>
              <a:latin typeface="+mn-lt"/>
              <a:ea typeface="+mn-ea"/>
              <a:cs typeface="+mn-cs"/>
            </a:rPr>
            <a:t>предоставляется дополнительная скидка</a:t>
          </a:r>
          <a:r>
            <a:rPr lang="ru-RU" sz="1100" b="0" i="0" baseline="0">
              <a:solidFill>
                <a:schemeClr val="dk1"/>
              </a:solidFill>
              <a:effectLst/>
              <a:latin typeface="+mn-lt"/>
              <a:ea typeface="+mn-ea"/>
              <a:cs typeface="+mn-cs"/>
            </a:rPr>
            <a:t>. С ней можно ознакомиться в калькуляторе на сайте.</a:t>
          </a:r>
          <a:endParaRPr lang="ru-RU">
            <a:effectLst/>
          </a:endParaRPr>
        </a:p>
        <a:p>
          <a:pPr algn="l"/>
          <a:endParaRPr lang="ru-RU" sz="1100" b="0" i="0" baseline="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sz="1100" b="1" i="0" baseline="0">
              <a:solidFill>
                <a:sysClr val="windowText" lastClr="000000"/>
              </a:solidFill>
              <a:effectLst/>
              <a:latin typeface="+mn-lt"/>
              <a:ea typeface="+mn-ea"/>
              <a:cs typeface="+mn-cs"/>
            </a:rPr>
            <a:t>Dallas Lock Linux/Dallas Lock 8.0-K. </a:t>
          </a:r>
          <a:r>
            <a:rPr lang="ru-RU" sz="1100" b="1" i="0" baseline="0">
              <a:solidFill>
                <a:sysClr val="windowText" lastClr="000000"/>
              </a:solidFill>
              <a:effectLst/>
              <a:latin typeface="+mn-lt"/>
              <a:ea typeface="+mn-ea"/>
              <a:cs typeface="+mn-cs"/>
            </a:rPr>
            <a:t>Право на использование (универсальная лицензия) </a:t>
          </a:r>
          <a:endParaRPr lang="ru-RU">
            <a:solidFill>
              <a:sysClr val="windowText" lastClr="000000"/>
            </a:solidFill>
            <a:effectLst/>
          </a:endParaRPr>
        </a:p>
        <a:p>
          <a:pPr algn="l"/>
          <a:r>
            <a:rPr lang="ru-RU" sz="1100" b="0" i="0" baseline="0">
              <a:solidFill>
                <a:schemeClr val="dk1"/>
              </a:solidFill>
              <a:effectLst/>
              <a:latin typeface="+mn-lt"/>
              <a:ea typeface="+mn-ea"/>
              <a:cs typeface="+mn-cs"/>
            </a:rPr>
            <a:t>См. в разделе прайса </a:t>
          </a:r>
          <a:r>
            <a:rPr lang="en-US" sz="1100" b="0" i="0" baseline="0">
              <a:solidFill>
                <a:schemeClr val="dk1"/>
              </a:solidFill>
              <a:effectLst/>
              <a:latin typeface="+mn-lt"/>
              <a:ea typeface="+mn-ea"/>
              <a:cs typeface="+mn-cs"/>
            </a:rPr>
            <a:t>Dallas Lock Linux</a:t>
          </a:r>
          <a:r>
            <a:rPr lang="ru-RU" sz="1100" b="0" i="0" baseline="0">
              <a:solidFill>
                <a:schemeClr val="dk1"/>
              </a:solidFill>
              <a:effectLst/>
              <a:latin typeface="+mn-lt"/>
              <a:ea typeface="+mn-ea"/>
              <a:cs typeface="+mn-cs"/>
            </a:rPr>
            <a:t>.</a:t>
          </a:r>
        </a:p>
        <a:p>
          <a:pPr algn="l"/>
          <a:endParaRPr lang="ru-RU" sz="1100" b="0" i="0" baseline="0">
            <a:solidFill>
              <a:schemeClr val="dk1"/>
            </a:solidFill>
            <a:effectLst/>
            <a:latin typeface="+mn-lt"/>
            <a:ea typeface="+mn-ea"/>
            <a:cs typeface="+mn-cs"/>
          </a:endParaRPr>
        </a:p>
        <a:p>
          <a:pPr algn="l" eaLnBrk="1" fontAlgn="auto" latinLnBrk="0" hangingPunct="1"/>
          <a:r>
            <a:rPr lang="en-US" sz="1100" b="1" i="0" baseline="0">
              <a:solidFill>
                <a:schemeClr val="dk1"/>
              </a:solidFill>
              <a:effectLst/>
              <a:latin typeface="+mn-lt"/>
              <a:ea typeface="+mn-ea"/>
              <a:cs typeface="+mn-cs"/>
            </a:rPr>
            <a:t>Dallas Lock 8.0</a:t>
          </a:r>
          <a:r>
            <a:rPr lang="ru-RU" sz="1100" b="1" i="0" baseline="0">
              <a:solidFill>
                <a:schemeClr val="dk1"/>
              </a:solidFill>
              <a:effectLst/>
              <a:latin typeface="+mn-lt"/>
              <a:ea typeface="+mn-ea"/>
              <a:cs typeface="+mn-cs"/>
            </a:rPr>
            <a:t>-К</a:t>
          </a:r>
          <a:r>
            <a:rPr lang="en-US" sz="1100" b="1" i="0" baseline="0">
              <a:solidFill>
                <a:schemeClr val="dk1"/>
              </a:solidFill>
              <a:effectLst/>
              <a:latin typeface="+mn-lt"/>
              <a:ea typeface="+mn-ea"/>
              <a:cs typeface="+mn-cs"/>
            </a:rPr>
            <a:t>. </a:t>
          </a:r>
          <a:r>
            <a:rPr lang="ru-RU" sz="1100" b="1" i="0" baseline="0">
              <a:solidFill>
                <a:schemeClr val="dk1"/>
              </a:solidFill>
              <a:effectLst/>
              <a:latin typeface="+mn-lt"/>
              <a:ea typeface="+mn-ea"/>
              <a:cs typeface="+mn-cs"/>
            </a:rPr>
            <a:t>Электронная дистрибуция</a:t>
          </a:r>
          <a:endParaRPr lang="ru-RU">
            <a:effectLst/>
          </a:endParaRPr>
        </a:p>
        <a:p>
          <a:pPr algn="l"/>
          <a:r>
            <a:rPr lang="ru-RU" sz="1100" b="0" i="0">
              <a:solidFill>
                <a:schemeClr val="dk1"/>
              </a:solidFill>
              <a:effectLst/>
              <a:latin typeface="+mn-lt"/>
              <a:ea typeface="+mn-ea"/>
              <a:cs typeface="+mn-cs"/>
            </a:rPr>
            <a:t>С 1 сентября 2025 года стартовала электронная дистрибуция</a:t>
          </a:r>
          <a:r>
            <a:rPr lang="ru-RU" sz="1100" b="0" i="0" baseline="0">
              <a:solidFill>
                <a:schemeClr val="dk1"/>
              </a:solidFill>
              <a:effectLst/>
              <a:latin typeface="+mn-lt"/>
              <a:ea typeface="+mn-ea"/>
              <a:cs typeface="+mn-cs"/>
            </a:rPr>
            <a:t> –</a:t>
          </a:r>
          <a:r>
            <a:rPr lang="ru-RU" sz="1100" b="0" i="0">
              <a:solidFill>
                <a:schemeClr val="dk1"/>
              </a:solidFill>
              <a:effectLst/>
              <a:latin typeface="+mn-lt"/>
              <a:ea typeface="+mn-ea"/>
              <a:cs typeface="+mn-cs"/>
            </a:rPr>
            <a:t> это возможность скачивать необходимые документы и дистрибутивы в личном</a:t>
          </a:r>
          <a:r>
            <a:rPr lang="ru-RU" sz="1100" b="0" i="0" baseline="0">
              <a:solidFill>
                <a:schemeClr val="dk1"/>
              </a:solidFill>
              <a:effectLst/>
              <a:latin typeface="+mn-lt"/>
              <a:ea typeface="+mn-ea"/>
              <a:cs typeface="+mn-cs"/>
            </a:rPr>
            <a:t> кабинете </a:t>
          </a:r>
          <a:r>
            <a:rPr lang="ru-RU" sz="1100" b="0" i="0">
              <a:solidFill>
                <a:schemeClr val="dk1"/>
              </a:solidFill>
              <a:effectLst/>
              <a:latin typeface="+mn-lt"/>
              <a:ea typeface="+mn-ea"/>
              <a:cs typeface="+mn-cs"/>
            </a:rPr>
            <a:t>пользователя на</a:t>
          </a:r>
          <a:r>
            <a:rPr lang="ru-RU" sz="1100" b="0" i="0" baseline="0">
              <a:solidFill>
                <a:schemeClr val="dk1"/>
              </a:solidFill>
              <a:effectLst/>
              <a:latin typeface="+mn-lt"/>
              <a:ea typeface="+mn-ea"/>
              <a:cs typeface="+mn-cs"/>
            </a:rPr>
            <a:t> </a:t>
          </a:r>
          <a:r>
            <a:rPr lang="ru-RU" sz="1100" b="0" i="0">
              <a:solidFill>
                <a:schemeClr val="dk1"/>
              </a:solidFill>
              <a:effectLst/>
              <a:latin typeface="+mn-lt"/>
              <a:ea typeface="+mn-ea"/>
              <a:cs typeface="+mn-cs"/>
            </a:rPr>
            <a:t>сайте </a:t>
          </a:r>
          <a:r>
            <a:rPr lang="en-US" sz="1100" b="0" i="0">
              <a:solidFill>
                <a:schemeClr val="dk1"/>
              </a:solidFill>
              <a:effectLst/>
              <a:latin typeface="+mn-lt"/>
              <a:ea typeface="+mn-ea"/>
              <a:cs typeface="+mn-cs"/>
            </a:rPr>
            <a:t>www.dallaslock.ru </a:t>
          </a:r>
          <a:r>
            <a:rPr lang="ru-RU" sz="1100" b="0" i="0">
              <a:solidFill>
                <a:schemeClr val="dk1"/>
              </a:solidFill>
              <a:effectLst/>
              <a:latin typeface="+mn-lt"/>
              <a:ea typeface="+mn-ea"/>
              <a:cs typeface="+mn-cs"/>
            </a:rPr>
            <a:t>или воспользоваться ссылками для скачивания в момент активации лицензий. </a:t>
          </a:r>
          <a:r>
            <a:rPr lang="ru-RU" sz="1100" b="0" i="0" baseline="0">
              <a:solidFill>
                <a:schemeClr val="dk1"/>
              </a:solidFill>
              <a:effectLst/>
              <a:latin typeface="+mn-lt"/>
              <a:ea typeface="+mn-ea"/>
              <a:cs typeface="+mn-cs"/>
            </a:rPr>
            <a:t> </a:t>
          </a:r>
          <a:r>
            <a:rPr lang="ru-RU" sz="1100" b="0" i="0">
              <a:solidFill>
                <a:schemeClr val="dk1"/>
              </a:solidFill>
              <a:effectLst/>
              <a:latin typeface="+mn-lt"/>
              <a:ea typeface="+mn-ea"/>
              <a:cs typeface="+mn-cs"/>
            </a:rPr>
            <a:t>Возможность приобретать физические дистрибутивы сохраняется.</a:t>
          </a:r>
          <a:endParaRPr lang="ru-RU" sz="1100" b="0" i="0" baseline="0">
            <a:solidFill>
              <a:schemeClr val="dk1"/>
            </a:solidFill>
            <a:effectLst/>
            <a:latin typeface="+mn-lt"/>
            <a:ea typeface="+mn-ea"/>
            <a:cs typeface="+mn-cs"/>
          </a:endParaRPr>
        </a:p>
        <a:p>
          <a:pPr algn="l"/>
          <a:endParaRPr lang="ru-RU" sz="1100" b="1" i="0" baseline="0">
            <a:solidFill>
              <a:schemeClr val="dk1"/>
            </a:solidFill>
            <a:effectLst/>
            <a:latin typeface="+mn-lt"/>
            <a:ea typeface="+mn-ea"/>
            <a:cs typeface="+mn-cs"/>
          </a:endParaRPr>
        </a:p>
        <a:p>
          <a:pPr algn="l"/>
          <a:r>
            <a:rPr lang="en-US" sz="1100" b="1" i="0" baseline="0">
              <a:solidFill>
                <a:schemeClr val="dk1"/>
              </a:solidFill>
              <a:effectLst/>
              <a:latin typeface="+mn-lt"/>
              <a:ea typeface="+mn-ea"/>
              <a:cs typeface="+mn-cs"/>
            </a:rPr>
            <a:t>Dallas Lock 8.0</a:t>
          </a:r>
          <a:r>
            <a:rPr lang="ru-RU" sz="1100" b="1" i="0" baseline="0">
              <a:solidFill>
                <a:schemeClr val="dk1"/>
              </a:solidFill>
              <a:effectLst/>
              <a:latin typeface="+mn-lt"/>
              <a:ea typeface="+mn-ea"/>
              <a:cs typeface="+mn-cs"/>
            </a:rPr>
            <a:t>-К</a:t>
          </a:r>
          <a:r>
            <a:rPr lang="en-US" sz="1100" b="1" i="0" baseline="0">
              <a:solidFill>
                <a:schemeClr val="dk1"/>
              </a:solidFill>
              <a:effectLst/>
              <a:latin typeface="+mn-lt"/>
              <a:ea typeface="+mn-ea"/>
              <a:cs typeface="+mn-cs"/>
            </a:rPr>
            <a:t>. </a:t>
          </a:r>
          <a:r>
            <a:rPr lang="ru-RU" sz="1100" b="1" i="0" baseline="0">
              <a:solidFill>
                <a:schemeClr val="dk1"/>
              </a:solidFill>
              <a:effectLst/>
              <a:latin typeface="+mn-lt"/>
              <a:ea typeface="+mn-ea"/>
              <a:cs typeface="+mn-cs"/>
            </a:rPr>
            <a:t>Сертифицированный комплект для установки</a:t>
          </a:r>
          <a:endParaRPr lang="ru-RU">
            <a:effectLst/>
          </a:endParaRPr>
        </a:p>
        <a:p>
          <a:pPr marL="0" marR="0" lvl="0" indent="0" algn="l" defTabSz="914400" eaLnBrk="1" fontAlgn="auto" latinLnBrk="0" hangingPunct="1">
            <a:lnSpc>
              <a:spcPct val="100000"/>
            </a:lnSpc>
            <a:spcBef>
              <a:spcPts val="0"/>
            </a:spcBef>
            <a:spcAft>
              <a:spcPts val="0"/>
            </a:spcAft>
            <a:buClrTx/>
            <a:buSzTx/>
            <a:buFontTx/>
            <a:buNone/>
            <a:tabLst/>
            <a:defRPr/>
          </a:pPr>
          <a:r>
            <a:rPr lang="ru-RU" sz="1100" b="0" i="0" baseline="0">
              <a:solidFill>
                <a:schemeClr val="dk1"/>
              </a:solidFill>
              <a:effectLst/>
              <a:latin typeface="+mn-lt"/>
              <a:ea typeface="+mn-ea"/>
              <a:cs typeface="+mn-cs"/>
            </a:rPr>
            <a:t>Компакт-диск с ПО </a:t>
          </a:r>
          <a:r>
            <a:rPr lang="en-US" sz="1100" b="0" i="0" baseline="0">
              <a:solidFill>
                <a:schemeClr val="dk1"/>
              </a:solidFill>
              <a:effectLst/>
              <a:latin typeface="+mn-lt"/>
              <a:ea typeface="+mn-ea"/>
              <a:cs typeface="+mn-cs"/>
            </a:rPr>
            <a:t>Dallas Lock 8.0 (</a:t>
          </a:r>
          <a:r>
            <a:rPr lang="ru-RU" sz="1100" b="0" i="0" baseline="0">
              <a:solidFill>
                <a:schemeClr val="dk1"/>
              </a:solidFill>
              <a:effectLst/>
              <a:latin typeface="+mn-lt"/>
              <a:ea typeface="+mn-ea"/>
              <a:cs typeface="+mn-cs"/>
            </a:rPr>
            <a:t>соответствующей версии) и документацией в электронном виде; формуляр; копия сертификата ФСТЭК России; краткое руководство</a:t>
          </a:r>
          <a:r>
            <a:rPr lang="en-US" sz="1100" b="0" i="0" baseline="0">
              <a:solidFill>
                <a:schemeClr val="dk1"/>
              </a:solidFill>
              <a:effectLst/>
              <a:latin typeface="+mn-lt"/>
              <a:ea typeface="+mn-ea"/>
              <a:cs typeface="+mn-cs"/>
            </a:rPr>
            <a:t> </a:t>
          </a:r>
          <a:r>
            <a:rPr lang="ru-RU" sz="1100" b="1" i="0" baseline="0">
              <a:solidFill>
                <a:schemeClr val="dk1"/>
              </a:solidFill>
              <a:effectLst/>
              <a:latin typeface="+mn-lt"/>
              <a:ea typeface="+mn-ea"/>
              <a:cs typeface="+mn-cs"/>
            </a:rPr>
            <a:t>(возможна электронная поставка).</a:t>
          </a:r>
          <a:endParaRPr lang="ru-RU">
            <a:effectLst/>
          </a:endParaRPr>
        </a:p>
        <a:p>
          <a:pPr algn="l"/>
          <a:endParaRPr lang="ru-RU" sz="1100" b="1" i="0" baseline="0">
            <a:solidFill>
              <a:schemeClr val="dk1"/>
            </a:solidFill>
            <a:effectLst/>
            <a:latin typeface="+mn-lt"/>
            <a:ea typeface="+mn-ea"/>
            <a:cs typeface="+mn-cs"/>
          </a:endParaRPr>
        </a:p>
        <a:p>
          <a:pPr algn="l"/>
          <a:r>
            <a:rPr lang="ru-RU" sz="1100" b="1" i="0" baseline="0">
              <a:solidFill>
                <a:schemeClr val="dk1"/>
              </a:solidFill>
              <a:effectLst/>
              <a:latin typeface="+mn-lt"/>
              <a:ea typeface="+mn-ea"/>
              <a:cs typeface="+mn-cs"/>
            </a:rPr>
            <a:t>Терминальное подключение для </a:t>
          </a:r>
          <a:r>
            <a:rPr lang="en-US" sz="1100" b="1" i="0" baseline="0">
              <a:solidFill>
                <a:schemeClr val="dk1"/>
              </a:solidFill>
              <a:effectLst/>
              <a:latin typeface="+mn-lt"/>
              <a:ea typeface="+mn-ea"/>
              <a:cs typeface="+mn-cs"/>
            </a:rPr>
            <a:t>Dallas Lock 8.0-K. </a:t>
          </a:r>
          <a:r>
            <a:rPr lang="ru-RU" sz="1100" b="1" i="0" baseline="0">
              <a:solidFill>
                <a:schemeClr val="dk1"/>
              </a:solidFill>
              <a:effectLst/>
              <a:latin typeface="+mn-lt"/>
              <a:ea typeface="+mn-ea"/>
              <a:cs typeface="+mn-cs"/>
            </a:rPr>
            <a:t>Право на использование</a:t>
          </a:r>
          <a:endParaRPr lang="ru-RU">
            <a:effectLst/>
          </a:endParaRPr>
        </a:p>
        <a:p>
          <a:pPr algn="l"/>
          <a:r>
            <a:rPr lang="ru-RU" sz="1100" b="0" i="0" baseline="0">
              <a:solidFill>
                <a:schemeClr val="dk1"/>
              </a:solidFill>
              <a:effectLst/>
              <a:latin typeface="+mn-lt"/>
              <a:ea typeface="+mn-ea"/>
              <a:cs typeface="+mn-cs"/>
            </a:rPr>
            <a:t>Комплект поставки: лицензионный </a:t>
          </a:r>
          <a:r>
            <a:rPr lang="en-US" sz="1100" b="0" i="0" baseline="0">
              <a:solidFill>
                <a:schemeClr val="dk1"/>
              </a:solidFill>
              <a:effectLst/>
              <a:latin typeface="+mn-lt"/>
              <a:ea typeface="+mn-ea"/>
              <a:cs typeface="+mn-cs"/>
            </a:rPr>
            <a:t>USB-</a:t>
          </a:r>
          <a:r>
            <a:rPr lang="ru-RU" sz="1100" b="0" i="0" baseline="0">
              <a:solidFill>
                <a:schemeClr val="dk1"/>
              </a:solidFill>
              <a:effectLst/>
              <a:latin typeface="+mn-lt"/>
              <a:ea typeface="+mn-ea"/>
              <a:cs typeface="+mn-cs"/>
            </a:rPr>
            <a:t>ключ с указанием максимального количества терминальных подключений.</a:t>
          </a:r>
          <a:endParaRPr lang="ru-RU">
            <a:effectLst/>
          </a:endParaRPr>
        </a:p>
        <a:p>
          <a:pPr algn="l"/>
          <a:endParaRPr lang="ru-RU" sz="1100" b="0" i="0" u="none" strike="noStrike" baseline="0">
            <a:solidFill>
              <a:schemeClr val="dk1"/>
            </a:solidFill>
            <a:latin typeface="Arial" panose="020B0604020202020204" pitchFamily="34" charset="0"/>
            <a:ea typeface="+mn-ea"/>
            <a:cs typeface="Arial" panose="020B0604020202020204" pitchFamily="34" charset="0"/>
          </a:endParaRPr>
        </a:p>
        <a:p>
          <a:pPr algn="l"/>
          <a:r>
            <a:rPr lang="ru-RU" sz="1100" b="1" i="0" baseline="0">
              <a:solidFill>
                <a:schemeClr val="dk1"/>
              </a:solidFill>
              <a:effectLst/>
              <a:latin typeface="+mn-lt"/>
              <a:ea typeface="+mn-ea"/>
              <a:cs typeface="+mn-cs"/>
            </a:rPr>
            <a:t>Техническая поддержка</a:t>
          </a:r>
          <a:endParaRPr lang="ru-RU">
            <a:effectLst/>
          </a:endParaRPr>
        </a:p>
        <a:p>
          <a:pPr marL="0" marR="0" lvl="0" indent="0" algn="l" defTabSz="914400" eaLnBrk="1" fontAlgn="auto" latinLnBrk="0" hangingPunct="1">
            <a:lnSpc>
              <a:spcPct val="100000"/>
            </a:lnSpc>
            <a:spcBef>
              <a:spcPts val="0"/>
            </a:spcBef>
            <a:spcAft>
              <a:spcPts val="0"/>
            </a:spcAft>
            <a:buClrTx/>
            <a:buSzTx/>
            <a:buFontTx/>
            <a:buNone/>
            <a:tabLst/>
            <a:defRPr/>
          </a:pPr>
          <a:r>
            <a:rPr lang="ru-RU" sz="1100" b="0" i="0" baseline="0">
              <a:solidFill>
                <a:schemeClr val="dk1"/>
              </a:solidFill>
              <a:effectLst/>
              <a:latin typeface="+mn-lt"/>
              <a:ea typeface="+mn-ea"/>
              <a:cs typeface="+mn-cs"/>
            </a:rPr>
            <a:t>При первичном приобретении гарантийное сопровождение (основной пакет) в течение 1 года включено в стоимость (окончание артикула </a:t>
          </a:r>
          <a:r>
            <a:rPr lang="en-US" sz="1100" b="1" i="0" baseline="0">
              <a:solidFill>
                <a:schemeClr val="dk1"/>
              </a:solidFill>
              <a:effectLst/>
              <a:latin typeface="+mn-lt"/>
              <a:ea typeface="+mn-ea"/>
              <a:cs typeface="+mn-cs"/>
            </a:rPr>
            <a:t>z = 12M</a:t>
          </a:r>
          <a:r>
            <a:rPr lang="ru-RU" sz="1100" b="0" i="0" baseline="0">
              <a:solidFill>
                <a:schemeClr val="dk1"/>
              </a:solidFill>
              <a:effectLst/>
              <a:latin typeface="+mn-lt"/>
              <a:ea typeface="+mn-ea"/>
              <a:cs typeface="+mn-cs"/>
            </a:rPr>
            <a:t>).</a:t>
          </a:r>
          <a:r>
            <a:rPr lang="en-US" sz="1100" b="0" i="0" baseline="0">
              <a:solidFill>
                <a:schemeClr val="dk1"/>
              </a:solidFill>
              <a:effectLst/>
              <a:latin typeface="+mn-lt"/>
              <a:ea typeface="+mn-ea"/>
              <a:cs typeface="+mn-cs"/>
            </a:rPr>
            <a:t> </a:t>
          </a:r>
          <a:r>
            <a:rPr lang="ru-RU" sz="1100" b="0" i="0" baseline="0">
              <a:solidFill>
                <a:schemeClr val="dk1"/>
              </a:solidFill>
              <a:effectLst/>
              <a:latin typeface="+mn-lt"/>
              <a:ea typeface="+mn-ea"/>
              <a:cs typeface="+mn-cs"/>
            </a:rPr>
            <a:t>В случае приобретения лицензий с гарантийным сопровождением (основной пакет) на 3 года, стоимость лицензии умножается на коэффициент </a:t>
          </a:r>
          <a:r>
            <a:rPr lang="ru-RU" sz="1100" b="1" i="0" baseline="0">
              <a:solidFill>
                <a:schemeClr val="dk1"/>
              </a:solidFill>
              <a:effectLst/>
              <a:latin typeface="+mn-lt"/>
              <a:ea typeface="+mn-ea"/>
              <a:cs typeface="+mn-cs"/>
            </a:rPr>
            <a:t>1,35</a:t>
          </a:r>
          <a:r>
            <a:rPr lang="ru-RU" sz="1100" b="0" i="0" baseline="0">
              <a:solidFill>
                <a:schemeClr val="dk1"/>
              </a:solidFill>
              <a:effectLst/>
              <a:latin typeface="+mn-lt"/>
              <a:ea typeface="+mn-ea"/>
              <a:cs typeface="+mn-cs"/>
            </a:rPr>
            <a:t> (</a:t>
          </a:r>
          <a:r>
            <a:rPr lang="en-US" sz="1100" b="1" i="0" baseline="0">
              <a:solidFill>
                <a:schemeClr val="dk1"/>
              </a:solidFill>
              <a:effectLst/>
              <a:latin typeface="+mn-lt"/>
              <a:ea typeface="+mn-ea"/>
              <a:cs typeface="+mn-cs"/>
            </a:rPr>
            <a:t>z = 36M</a:t>
          </a:r>
          <a:r>
            <a:rPr lang="ru-RU" sz="1100" b="0" i="0" baseline="0">
              <a:solidFill>
                <a:schemeClr val="dk1"/>
              </a:solidFill>
              <a:effectLst/>
              <a:latin typeface="+mn-lt"/>
              <a:ea typeface="+mn-ea"/>
              <a:cs typeface="+mn-cs"/>
            </a:rPr>
            <a:t>). При первичном приобретении с техническим сопровождением расширенного пакета «24х7» окончания артикулов </a:t>
          </a:r>
          <a:r>
            <a:rPr lang="en-US" sz="1100" b="1" i="0" baseline="0">
              <a:solidFill>
                <a:schemeClr val="dk1"/>
              </a:solidFill>
              <a:effectLst/>
              <a:latin typeface="+mn-lt"/>
              <a:ea typeface="+mn-ea"/>
              <a:cs typeface="+mn-cs"/>
            </a:rPr>
            <a:t>12M</a:t>
          </a:r>
          <a:r>
            <a:rPr lang="en-US" sz="1100" b="0" i="0" baseline="0">
              <a:solidFill>
                <a:schemeClr val="dk1"/>
              </a:solidFill>
              <a:effectLst/>
              <a:latin typeface="+mn-lt"/>
              <a:ea typeface="+mn-ea"/>
              <a:cs typeface="+mn-cs"/>
            </a:rPr>
            <a:t>, </a:t>
          </a:r>
          <a:r>
            <a:rPr lang="en-US" sz="1100" b="1" i="0" baseline="0">
              <a:solidFill>
                <a:schemeClr val="dk1"/>
              </a:solidFill>
              <a:effectLst/>
              <a:latin typeface="+mn-lt"/>
              <a:ea typeface="+mn-ea"/>
              <a:cs typeface="+mn-cs"/>
            </a:rPr>
            <a:t>36M</a:t>
          </a:r>
          <a:r>
            <a:rPr lang="ru-RU" sz="1100" b="0" i="0" baseline="0">
              <a:solidFill>
                <a:schemeClr val="dk1"/>
              </a:solidFill>
              <a:effectLst/>
              <a:latin typeface="+mn-lt"/>
              <a:ea typeface="+mn-ea"/>
              <a:cs typeface="+mn-cs"/>
            </a:rPr>
            <a:t> заменяются на </a:t>
          </a:r>
          <a:r>
            <a:rPr lang="en-US" sz="1100" b="1" i="0" baseline="0">
              <a:solidFill>
                <a:schemeClr val="dk1"/>
              </a:solidFill>
              <a:effectLst/>
              <a:latin typeface="+mn-lt"/>
              <a:ea typeface="+mn-ea"/>
              <a:cs typeface="+mn-cs"/>
            </a:rPr>
            <a:t>12M247</a:t>
          </a:r>
          <a:r>
            <a:rPr lang="ru-RU" sz="1100" b="0" i="0" baseline="0">
              <a:solidFill>
                <a:schemeClr val="dk1"/>
              </a:solidFill>
              <a:effectLst/>
              <a:latin typeface="+mn-lt"/>
              <a:ea typeface="+mn-ea"/>
              <a:cs typeface="+mn-cs"/>
            </a:rPr>
            <a:t>, </a:t>
          </a:r>
          <a:r>
            <a:rPr lang="en-US" sz="1100" b="1" i="0" baseline="0">
              <a:solidFill>
                <a:schemeClr val="dk1"/>
              </a:solidFill>
              <a:effectLst/>
              <a:latin typeface="+mn-lt"/>
              <a:ea typeface="+mn-ea"/>
              <a:cs typeface="+mn-cs"/>
            </a:rPr>
            <a:t>36M247</a:t>
          </a:r>
          <a:r>
            <a:rPr lang="en-US" sz="1100" b="0" i="0" baseline="0">
              <a:solidFill>
                <a:schemeClr val="dk1"/>
              </a:solidFill>
              <a:effectLst/>
              <a:latin typeface="+mn-lt"/>
              <a:ea typeface="+mn-ea"/>
              <a:cs typeface="+mn-cs"/>
            </a:rPr>
            <a:t> </a:t>
          </a:r>
          <a:r>
            <a:rPr lang="ru-RU" sz="1100" b="0" i="0" baseline="0">
              <a:solidFill>
                <a:schemeClr val="dk1"/>
              </a:solidFill>
              <a:effectLst/>
              <a:latin typeface="+mn-lt"/>
              <a:ea typeface="+mn-ea"/>
              <a:cs typeface="+mn-cs"/>
            </a:rPr>
            <a:t>соответственно.</a:t>
          </a:r>
          <a:endParaRPr lang="ru-RU">
            <a:effectLst/>
          </a:endParaRPr>
        </a:p>
        <a:p>
          <a:endParaRPr lang="ru-RU" sz="1100" b="0" i="0" u="none" strike="noStrike" baseline="0">
            <a:solidFill>
              <a:schemeClr val="dk1"/>
            </a:solidFill>
            <a:latin typeface="Arial" panose="020B0604020202020204" pitchFamily="34" charset="0"/>
            <a:ea typeface="+mn-ea"/>
            <a:cs typeface="Arial" panose="020B0604020202020204" pitchFamily="34" charset="0"/>
          </a:endParaRPr>
        </a:p>
      </xdr:txBody>
    </xdr:sp>
    <xdr:clientData/>
  </xdr:twoCellAnchor>
  <xdr:twoCellAnchor>
    <xdr:from>
      <xdr:col>3</xdr:col>
      <xdr:colOff>6725</xdr:colOff>
      <xdr:row>34</xdr:row>
      <xdr:rowOff>104774</xdr:rowOff>
    </xdr:from>
    <xdr:to>
      <xdr:col>12</xdr:col>
      <xdr:colOff>0</xdr:colOff>
      <xdr:row>71</xdr:row>
      <xdr:rowOff>167640</xdr:rowOff>
    </xdr:to>
    <xdr:sp macro="" textlink="">
      <xdr:nvSpPr>
        <xdr:cNvPr id="5" name="TextBox 4">
          <a:extLst>
            <a:ext uri="{FF2B5EF4-FFF2-40B4-BE49-F238E27FC236}">
              <a16:creationId xmlns:a16="http://schemas.microsoft.com/office/drawing/2014/main" xmlns="" id="{00000000-0008-0000-0500-000005000000}"/>
            </a:ext>
          </a:extLst>
        </xdr:cNvPr>
        <xdr:cNvSpPr txBox="1"/>
      </xdr:nvSpPr>
      <xdr:spPr>
        <a:xfrm>
          <a:off x="6102725" y="11737974"/>
          <a:ext cx="6533776" cy="664146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ru-RU" sz="1100" b="0" i="0" baseline="0">
              <a:solidFill>
                <a:schemeClr val="dk1"/>
              </a:solidFill>
              <a:effectLst/>
              <a:latin typeface="+mn-lt"/>
              <a:ea typeface="+mn-ea"/>
              <a:cs typeface="+mn-cs"/>
            </a:rPr>
            <a:t>Продление технического сопровождения оформляется в виде сертификата на код активации технической поддержки. </a:t>
          </a:r>
          <a:r>
            <a:rPr lang="ru-RU" sz="1100">
              <a:solidFill>
                <a:schemeClr val="dk1"/>
              </a:solidFill>
              <a:effectLst/>
              <a:latin typeface="+mn-lt"/>
              <a:ea typeface="+mn-ea"/>
              <a:cs typeface="+mn-cs"/>
            </a:rPr>
            <a:t>Сертификат передается по УПД или товарной накладной по форме ТОРГ-12 с оформлением счета-фактуры.</a:t>
          </a:r>
          <a:r>
            <a:rPr lang="ru-RU" sz="1100" baseline="0">
              <a:solidFill>
                <a:schemeClr val="dk1"/>
              </a:solidFill>
              <a:effectLst/>
              <a:latin typeface="+mn-lt"/>
              <a:ea typeface="+mn-ea"/>
              <a:cs typeface="+mn-cs"/>
            </a:rPr>
            <a:t> </a:t>
          </a:r>
          <a:r>
            <a:rPr lang="ru-RU" sz="1100" b="0" i="0" baseline="0">
              <a:solidFill>
                <a:schemeClr val="dk1"/>
              </a:solidFill>
              <a:effectLst/>
              <a:latin typeface="+mn-lt"/>
              <a:ea typeface="+mn-ea"/>
              <a:cs typeface="+mn-cs"/>
            </a:rPr>
            <a:t>Стоимость последующего технического сопровождения (основной пакет) составляет 20% (15% для лицензий с артикулом </a:t>
          </a:r>
          <a:r>
            <a:rPr lang="en-US" sz="1100" b="0" i="0" baseline="0">
              <a:solidFill>
                <a:schemeClr val="dk1"/>
              </a:solidFill>
              <a:effectLst/>
              <a:latin typeface="+mn-lt"/>
              <a:ea typeface="+mn-ea"/>
              <a:cs typeface="+mn-cs"/>
            </a:rPr>
            <a:t>*</a:t>
          </a:r>
          <a:r>
            <a:rPr lang="ru-RU" sz="1100" b="0" i="0" baseline="0">
              <a:solidFill>
                <a:schemeClr val="dk1"/>
              </a:solidFill>
              <a:effectLst/>
              <a:latin typeface="+mn-lt"/>
              <a:ea typeface="+mn-ea"/>
              <a:cs typeface="+mn-cs"/>
            </a:rPr>
            <a:t>.36</a:t>
          </a:r>
          <a:r>
            <a:rPr lang="en-US" sz="1100" b="0" i="0" baseline="0">
              <a:solidFill>
                <a:schemeClr val="dk1"/>
              </a:solidFill>
              <a:effectLst/>
              <a:latin typeface="+mn-lt"/>
              <a:ea typeface="+mn-ea"/>
              <a:cs typeface="+mn-cs"/>
            </a:rPr>
            <a:t>M</a:t>
          </a:r>
          <a:r>
            <a:rPr lang="ru-RU" sz="1100" b="0" i="0" baseline="0">
              <a:solidFill>
                <a:schemeClr val="dk1"/>
              </a:solidFill>
              <a:effectLst/>
              <a:latin typeface="+mn-lt"/>
              <a:ea typeface="+mn-ea"/>
              <a:cs typeface="+mn-cs"/>
            </a:rPr>
            <a:t>) от стоимости лицензий в год. При оплате технического сопровождения (основной пакет) вперед на 3 года действует скидка – стоимость продления составит 55% (40% для лицензий с артикулом </a:t>
          </a:r>
          <a:r>
            <a:rPr lang="en-US" sz="1100" b="0" i="0" baseline="0">
              <a:solidFill>
                <a:schemeClr val="dk1"/>
              </a:solidFill>
              <a:effectLst/>
              <a:latin typeface="+mn-lt"/>
              <a:ea typeface="+mn-ea"/>
              <a:cs typeface="+mn-cs"/>
            </a:rPr>
            <a:t>*</a:t>
          </a:r>
          <a:r>
            <a:rPr lang="ru-RU" sz="1100" b="0" i="0" baseline="0">
              <a:solidFill>
                <a:schemeClr val="dk1"/>
              </a:solidFill>
              <a:effectLst/>
              <a:latin typeface="+mn-lt"/>
              <a:ea typeface="+mn-ea"/>
              <a:cs typeface="+mn-cs"/>
            </a:rPr>
            <a:t>.36</a:t>
          </a:r>
          <a:r>
            <a:rPr lang="en-US" sz="1100" b="0" i="0" baseline="0">
              <a:solidFill>
                <a:schemeClr val="dk1"/>
              </a:solidFill>
              <a:effectLst/>
              <a:latin typeface="+mn-lt"/>
              <a:ea typeface="+mn-ea"/>
              <a:cs typeface="+mn-cs"/>
            </a:rPr>
            <a:t>M</a:t>
          </a:r>
          <a:r>
            <a:rPr lang="ru-RU" sz="1100" b="0" i="0" baseline="0">
              <a:solidFill>
                <a:schemeClr val="dk1"/>
              </a:solidFill>
              <a:effectLst/>
              <a:latin typeface="+mn-lt"/>
              <a:ea typeface="+mn-ea"/>
              <a:cs typeface="+mn-cs"/>
            </a:rPr>
            <a:t>) от розничной стоимости лицензий. Стоимость последующего технического сопровождения (расширенный пакет «24х7») составляет 30% (22% для лицензий с артикулом </a:t>
          </a:r>
          <a:r>
            <a:rPr lang="en-US" sz="1100" b="0" i="0" baseline="0">
              <a:solidFill>
                <a:schemeClr val="dk1"/>
              </a:solidFill>
              <a:effectLst/>
              <a:latin typeface="+mn-lt"/>
              <a:ea typeface="+mn-ea"/>
              <a:cs typeface="+mn-cs"/>
            </a:rPr>
            <a:t>*</a:t>
          </a:r>
          <a:r>
            <a:rPr lang="ru-RU" sz="1100" b="0" i="0" baseline="0">
              <a:solidFill>
                <a:schemeClr val="dk1"/>
              </a:solidFill>
              <a:effectLst/>
              <a:latin typeface="+mn-lt"/>
              <a:ea typeface="+mn-ea"/>
              <a:cs typeface="+mn-cs"/>
            </a:rPr>
            <a:t>.36</a:t>
          </a:r>
          <a:r>
            <a:rPr lang="en-US" sz="1100" b="0" i="0" baseline="0">
              <a:solidFill>
                <a:schemeClr val="dk1"/>
              </a:solidFill>
              <a:effectLst/>
              <a:latin typeface="+mn-lt"/>
              <a:ea typeface="+mn-ea"/>
              <a:cs typeface="+mn-cs"/>
            </a:rPr>
            <a:t>M</a:t>
          </a:r>
          <a:r>
            <a:rPr lang="ru-RU" sz="1100" b="0" i="0" baseline="0">
              <a:solidFill>
                <a:schemeClr val="dk1"/>
              </a:solidFill>
              <a:effectLst/>
              <a:latin typeface="+mn-lt"/>
              <a:ea typeface="+mn-ea"/>
              <a:cs typeface="+mn-cs"/>
            </a:rPr>
            <a:t>) от стоимости лицензий в год. При оплате технического сопровождения (расширенный пакет «24х7») вперед на 3 года действует скидка – стоимость продления составит 80% (60% для лицензий с артикулом </a:t>
          </a:r>
          <a:r>
            <a:rPr lang="en-US" sz="1100" b="0" i="0" baseline="0">
              <a:solidFill>
                <a:schemeClr val="dk1"/>
              </a:solidFill>
              <a:effectLst/>
              <a:latin typeface="+mn-lt"/>
              <a:ea typeface="+mn-ea"/>
              <a:cs typeface="+mn-cs"/>
            </a:rPr>
            <a:t>*</a:t>
          </a:r>
          <a:r>
            <a:rPr lang="ru-RU" sz="1100" b="0" i="0" baseline="0">
              <a:solidFill>
                <a:schemeClr val="dk1"/>
              </a:solidFill>
              <a:effectLst/>
              <a:latin typeface="+mn-lt"/>
              <a:ea typeface="+mn-ea"/>
              <a:cs typeface="+mn-cs"/>
            </a:rPr>
            <a:t>.36</a:t>
          </a:r>
          <a:r>
            <a:rPr lang="en-US" sz="1100" b="0" i="0" baseline="0">
              <a:solidFill>
                <a:schemeClr val="dk1"/>
              </a:solidFill>
              <a:effectLst/>
              <a:latin typeface="+mn-lt"/>
              <a:ea typeface="+mn-ea"/>
              <a:cs typeface="+mn-cs"/>
            </a:rPr>
            <a:t>M</a:t>
          </a:r>
          <a:r>
            <a:rPr lang="ru-RU" sz="1100" b="0" i="0" baseline="0">
              <a:solidFill>
                <a:schemeClr val="dk1"/>
              </a:solidFill>
              <a:effectLst/>
              <a:latin typeface="+mn-lt"/>
              <a:ea typeface="+mn-ea"/>
              <a:cs typeface="+mn-cs"/>
            </a:rPr>
            <a:t>) от стоимости лицензий. При продлении технического сопровождения оплачивается также весь период с момента окончания гарантийного или технического сопровождения</a:t>
          </a:r>
          <a:r>
            <a:rPr lang="en-US" sz="1100" b="0" i="0" baseline="0">
              <a:solidFill>
                <a:schemeClr val="dk1"/>
              </a:solidFill>
              <a:effectLst/>
              <a:latin typeface="+mn-lt"/>
              <a:ea typeface="+mn-ea"/>
              <a:cs typeface="+mn-cs"/>
            </a:rPr>
            <a:t> </a:t>
          </a:r>
          <a:r>
            <a:rPr lang="ru-RU" sz="1100" b="0" i="0">
              <a:solidFill>
                <a:schemeClr val="dk1"/>
              </a:solidFill>
              <a:effectLst/>
              <a:latin typeface="+mn-lt"/>
              <a:ea typeface="+mn-ea"/>
              <a:cs typeface="+mn-cs"/>
            </a:rPr>
            <a:t>на все лицензии</a:t>
          </a:r>
          <a:r>
            <a:rPr lang="ru-RU" sz="1100" b="0" i="0" baseline="0">
              <a:solidFill>
                <a:schemeClr val="dk1"/>
              </a:solidFill>
              <a:effectLst/>
              <a:latin typeface="+mn-lt"/>
              <a:ea typeface="+mn-ea"/>
              <a:cs typeface="+mn-cs"/>
            </a:rPr>
            <a:t>. Стоимость технического сопровождения на устаревших инфраструктурах (при использовании операционных систем с завершившейся поддержкой от вендора, например, таких, как </a:t>
          </a:r>
          <a:r>
            <a:rPr lang="en-US" sz="1100" b="0" i="0" baseline="0">
              <a:solidFill>
                <a:schemeClr val="dk1"/>
              </a:solidFill>
              <a:effectLst/>
              <a:latin typeface="+mn-lt"/>
              <a:ea typeface="+mn-ea"/>
              <a:cs typeface="+mn-cs"/>
            </a:rPr>
            <a:t>Windows XP/2003 Server</a:t>
          </a:r>
          <a:r>
            <a:rPr lang="ru-RU" sz="1100" b="0" i="0" baseline="0">
              <a:solidFill>
                <a:schemeClr val="dk1"/>
              </a:solidFill>
              <a:effectLst/>
              <a:latin typeface="+mn-lt"/>
              <a:ea typeface="+mn-ea"/>
              <a:cs typeface="+mn-cs"/>
            </a:rPr>
            <a:t>/</a:t>
          </a:r>
          <a:r>
            <a:rPr lang="en-US" sz="1100" b="0" i="0" baseline="0">
              <a:solidFill>
                <a:schemeClr val="dk1"/>
              </a:solidFill>
              <a:effectLst/>
              <a:latin typeface="+mn-lt"/>
              <a:ea typeface="+mn-ea"/>
              <a:cs typeface="+mn-cs"/>
            </a:rPr>
            <a:t>Windows 7 </a:t>
          </a:r>
          <a:r>
            <a:rPr lang="ru-RU" sz="1100" b="0" i="0" baseline="0">
              <a:solidFill>
                <a:schemeClr val="dk1"/>
              </a:solidFill>
              <a:effectLst/>
              <a:latin typeface="+mn-lt"/>
              <a:ea typeface="+mn-ea"/>
              <a:cs typeface="+mn-cs"/>
            </a:rPr>
            <a:t>и т.</a:t>
          </a:r>
          <a:r>
            <a:rPr lang="en-US" sz="1100" b="0" i="0" baseline="0">
              <a:solidFill>
                <a:schemeClr val="dk1"/>
              </a:solidFill>
              <a:effectLst/>
              <a:latin typeface="+mn-lt"/>
              <a:ea typeface="+mn-ea"/>
              <a:cs typeface="+mn-cs"/>
            </a:rPr>
            <a:t> </a:t>
          </a:r>
          <a:r>
            <a:rPr lang="ru-RU" sz="1100" b="0" i="0" baseline="0">
              <a:solidFill>
                <a:schemeClr val="dk1"/>
              </a:solidFill>
              <a:effectLst/>
              <a:latin typeface="+mn-lt"/>
              <a:ea typeface="+mn-ea"/>
              <a:cs typeface="+mn-cs"/>
            </a:rPr>
            <a:t>д.</a:t>
          </a:r>
          <a:r>
            <a:rPr lang="en-US" sz="1100" b="0" i="0" baseline="0">
              <a:solidFill>
                <a:schemeClr val="dk1"/>
              </a:solidFill>
              <a:effectLst/>
              <a:latin typeface="+mn-lt"/>
              <a:ea typeface="+mn-ea"/>
              <a:cs typeface="+mn-cs"/>
            </a:rPr>
            <a:t>) </a:t>
          </a:r>
          <a:r>
            <a:rPr lang="ru-RU" sz="1100" b="0" i="0" baseline="0">
              <a:solidFill>
                <a:schemeClr val="dk1"/>
              </a:solidFill>
              <a:effectLst/>
              <a:latin typeface="+mn-lt"/>
              <a:ea typeface="+mn-ea"/>
              <a:cs typeface="+mn-cs"/>
            </a:rPr>
            <a:t>удваивается. Пользователи программного обеспечения </a:t>
          </a:r>
          <a:r>
            <a:rPr lang="en-US" sz="1100" b="0" i="0" baseline="0">
              <a:solidFill>
                <a:schemeClr val="dk1"/>
              </a:solidFill>
              <a:effectLst/>
              <a:latin typeface="+mn-lt"/>
              <a:ea typeface="+mn-ea"/>
              <a:cs typeface="+mn-cs"/>
            </a:rPr>
            <a:t>Dallas Lock </a:t>
          </a:r>
          <a:r>
            <a:rPr lang="ru-RU" sz="1100" b="0" i="0" baseline="0">
              <a:solidFill>
                <a:schemeClr val="dk1"/>
              </a:solidFill>
              <a:effectLst/>
              <a:latin typeface="+mn-lt"/>
              <a:ea typeface="+mn-ea"/>
              <a:cs typeface="+mn-cs"/>
            </a:rPr>
            <a:t>в рамках гарантийного или непрерывно действующего технического сопровождения имеют право бесплатного обновления лицензий до следующей версии этого решения (с тем же объемом функциональности). Оплачивается только стоимость новых сертифицированных комплектов для установки и 1 год (3 года для лицензий с артикулом </a:t>
          </a:r>
          <a:r>
            <a:rPr lang="en-US" sz="1100" b="0" i="0" baseline="0">
              <a:solidFill>
                <a:schemeClr val="dk1"/>
              </a:solidFill>
              <a:effectLst/>
              <a:latin typeface="+mn-lt"/>
              <a:ea typeface="+mn-ea"/>
              <a:cs typeface="+mn-cs"/>
            </a:rPr>
            <a:t>*</a:t>
          </a:r>
          <a:r>
            <a:rPr lang="ru-RU" sz="1100" b="0" i="0" baseline="0">
              <a:solidFill>
                <a:schemeClr val="dk1"/>
              </a:solidFill>
              <a:effectLst/>
              <a:latin typeface="+mn-lt"/>
              <a:ea typeface="+mn-ea"/>
              <a:cs typeface="+mn-cs"/>
            </a:rPr>
            <a:t>.36</a:t>
          </a:r>
          <a:r>
            <a:rPr lang="en-US" sz="1100" b="0" i="0" baseline="0">
              <a:solidFill>
                <a:schemeClr val="dk1"/>
              </a:solidFill>
              <a:effectLst/>
              <a:latin typeface="+mn-lt"/>
              <a:ea typeface="+mn-ea"/>
              <a:cs typeface="+mn-cs"/>
            </a:rPr>
            <a:t>M</a:t>
          </a:r>
          <a:r>
            <a:rPr lang="ru-RU" sz="1100" b="0" i="0" baseline="0">
              <a:solidFill>
                <a:schemeClr val="dk1"/>
              </a:solidFill>
              <a:effectLst/>
              <a:latin typeface="+mn-lt"/>
              <a:ea typeface="+mn-ea"/>
              <a:cs typeface="+mn-cs"/>
            </a:rPr>
            <a:t>) технической поддержки.</a:t>
          </a:r>
        </a:p>
        <a:p>
          <a:pPr algn="l"/>
          <a:endParaRPr lang="ru-RU">
            <a:effectLst/>
          </a:endParaRPr>
        </a:p>
        <a:p>
          <a:pPr algn="l"/>
          <a:r>
            <a:rPr lang="ru-RU" sz="1100" b="1" i="0" baseline="0">
              <a:solidFill>
                <a:schemeClr val="dk1"/>
              </a:solidFill>
              <a:effectLst/>
              <a:latin typeface="+mn-lt"/>
              <a:ea typeface="+mn-ea"/>
              <a:cs typeface="+mn-cs"/>
            </a:rPr>
            <a:t>Комментарии</a:t>
          </a:r>
          <a:endParaRPr lang="ru-RU">
            <a:effectLst/>
          </a:endParaRPr>
        </a:p>
        <a:p>
          <a:pPr algn="l"/>
          <a:r>
            <a:rPr lang="ru-RU" sz="1100" b="0" i="0" baseline="0">
              <a:solidFill>
                <a:schemeClr val="dk1"/>
              </a:solidFill>
              <a:effectLst/>
              <a:latin typeface="+mn-lt"/>
              <a:ea typeface="+mn-ea"/>
              <a:cs typeface="+mn-cs"/>
            </a:rPr>
            <a:t>• Для пользователей СЗИ </a:t>
          </a:r>
          <a:r>
            <a:rPr lang="en-US" sz="1100" b="0" i="0" baseline="0">
              <a:solidFill>
                <a:schemeClr val="dk1"/>
              </a:solidFill>
              <a:effectLst/>
              <a:latin typeface="+mn-lt"/>
              <a:ea typeface="+mn-ea"/>
              <a:cs typeface="+mn-cs"/>
            </a:rPr>
            <a:t>Dallas Lock 8.0-</a:t>
          </a:r>
          <a:r>
            <a:rPr lang="ru-RU" sz="1100" b="0" i="0" baseline="0">
              <a:solidFill>
                <a:schemeClr val="dk1"/>
              </a:solidFill>
              <a:effectLst/>
              <a:latin typeface="+mn-lt"/>
              <a:ea typeface="+mn-ea"/>
              <a:cs typeface="+mn-cs"/>
            </a:rPr>
            <a:t>К с действующей технической поддержкой бесплатно продлевается техническая поддержка на 1 год с момента приобретения модуля «Межсетевой экран» (в том числе совместно с модулем «Система обнаружения и предотвращения вторжений»). Срок действия акции ограничен.</a:t>
          </a:r>
          <a:endParaRPr lang="ru-RU">
            <a:effectLst/>
          </a:endParaRPr>
        </a:p>
        <a:p>
          <a:pPr algn="l"/>
          <a:r>
            <a:rPr lang="ru-RU" sz="1100" b="0" i="0" baseline="0">
              <a:solidFill>
                <a:schemeClr val="dk1"/>
              </a:solidFill>
              <a:effectLst/>
              <a:latin typeface="+mn-lt"/>
              <a:ea typeface="+mn-ea"/>
              <a:cs typeface="+mn-cs"/>
            </a:rPr>
            <a:t>• Для пользователей СЗИ </a:t>
          </a:r>
          <a:r>
            <a:rPr lang="en-US" sz="1100" b="0" i="0" baseline="0">
              <a:solidFill>
                <a:schemeClr val="dk1"/>
              </a:solidFill>
              <a:effectLst/>
              <a:latin typeface="+mn-lt"/>
              <a:ea typeface="+mn-ea"/>
              <a:cs typeface="+mn-cs"/>
            </a:rPr>
            <a:t>Dallas Lock 8.0-</a:t>
          </a:r>
          <a:r>
            <a:rPr lang="ru-RU" sz="1100" b="0" i="0" baseline="0">
              <a:solidFill>
                <a:schemeClr val="dk1"/>
              </a:solidFill>
              <a:effectLst/>
              <a:latin typeface="+mn-lt"/>
              <a:ea typeface="+mn-ea"/>
              <a:cs typeface="+mn-cs"/>
            </a:rPr>
            <a:t>К с прерванной технической поддержкой бесплатно возобновляется техническая поддержка СЗИ </a:t>
          </a:r>
          <a:r>
            <a:rPr lang="en-US" sz="1100" b="0" i="0" baseline="0">
              <a:solidFill>
                <a:schemeClr val="dk1"/>
              </a:solidFill>
              <a:effectLst/>
              <a:latin typeface="+mn-lt"/>
              <a:ea typeface="+mn-ea"/>
              <a:cs typeface="+mn-cs"/>
            </a:rPr>
            <a:t>Dallas Lock</a:t>
          </a:r>
          <a:r>
            <a:rPr lang="ru-RU" sz="1100" b="0" i="0" baseline="0">
              <a:solidFill>
                <a:schemeClr val="dk1"/>
              </a:solidFill>
              <a:effectLst/>
              <a:latin typeface="+mn-lt"/>
              <a:ea typeface="+mn-ea"/>
              <a:cs typeface="+mn-cs"/>
            </a:rPr>
            <a:t> 8.0-К с любым истекшим сроком действия при приобретении модуля «Межсетевой экран» (в том числе с модулем «Система обнаружения и предотвращения вторжений») и оплате 1 года технического сопровождения СЗИ </a:t>
          </a:r>
          <a:r>
            <a:rPr lang="en-US" sz="1100" b="0" i="0" baseline="0">
              <a:solidFill>
                <a:schemeClr val="dk1"/>
              </a:solidFill>
              <a:effectLst/>
              <a:latin typeface="+mn-lt"/>
              <a:ea typeface="+mn-ea"/>
              <a:cs typeface="+mn-cs"/>
            </a:rPr>
            <a:t>Dallas Lock 8.0-</a:t>
          </a:r>
          <a:r>
            <a:rPr lang="ru-RU" sz="1100" b="0" i="0" baseline="0">
              <a:solidFill>
                <a:schemeClr val="dk1"/>
              </a:solidFill>
              <a:effectLst/>
              <a:latin typeface="+mn-lt"/>
              <a:ea typeface="+mn-ea"/>
              <a:cs typeface="+mn-cs"/>
            </a:rPr>
            <a:t>К. Срок действия акции ограничен.</a:t>
          </a:r>
          <a:endParaRPr lang="ru-RU">
            <a:effectLst/>
          </a:endParaRPr>
        </a:p>
        <a:p>
          <a:pPr algn="l"/>
          <a:r>
            <a:rPr lang="ru-RU" sz="1100" b="0" i="0" baseline="0">
              <a:solidFill>
                <a:schemeClr val="dk1"/>
              </a:solidFill>
              <a:effectLst/>
              <a:latin typeface="+mn-lt"/>
              <a:ea typeface="+mn-ea"/>
              <a:cs typeface="+mn-cs"/>
            </a:rPr>
            <a:t>• СЗИ </a:t>
          </a:r>
          <a:r>
            <a:rPr lang="en-US" sz="1100" b="0" i="0" baseline="0">
              <a:solidFill>
                <a:schemeClr val="dk1"/>
              </a:solidFill>
              <a:effectLst/>
              <a:latin typeface="+mn-lt"/>
              <a:ea typeface="+mn-ea"/>
              <a:cs typeface="+mn-cs"/>
            </a:rPr>
            <a:t>Dallas Lock 8.0-</a:t>
          </a:r>
          <a:r>
            <a:rPr lang="ru-RU" sz="1100" b="0" i="0" baseline="0">
              <a:solidFill>
                <a:schemeClr val="dk1"/>
              </a:solidFill>
              <a:effectLst/>
              <a:latin typeface="+mn-lt"/>
              <a:ea typeface="+mn-ea"/>
              <a:cs typeface="+mn-cs"/>
            </a:rPr>
            <a:t>К совместима с различными моделями электронных ключей и смарт-карт </a:t>
          </a:r>
          <a:r>
            <a:rPr lang="en-US" sz="1100" b="0" i="0" baseline="0">
              <a:solidFill>
                <a:schemeClr val="dk1"/>
              </a:solidFill>
              <a:effectLst/>
              <a:latin typeface="+mn-lt"/>
              <a:ea typeface="+mn-ea"/>
              <a:cs typeface="+mn-cs"/>
            </a:rPr>
            <a:t>JaCarta </a:t>
          </a:r>
          <a:r>
            <a:rPr lang="ru-RU" sz="1100" b="0" i="0" baseline="0">
              <a:solidFill>
                <a:schemeClr val="dk1"/>
              </a:solidFill>
              <a:effectLst/>
              <a:latin typeface="+mn-lt"/>
              <a:ea typeface="+mn-ea"/>
              <a:cs typeface="+mn-cs"/>
            </a:rPr>
            <a:t>и </a:t>
          </a:r>
          <a:r>
            <a:rPr lang="en-US" sz="1100" b="0" i="0" baseline="0">
              <a:solidFill>
                <a:schemeClr val="dk1"/>
              </a:solidFill>
              <a:effectLst/>
              <a:latin typeface="+mn-lt"/>
              <a:ea typeface="+mn-ea"/>
              <a:cs typeface="+mn-cs"/>
            </a:rPr>
            <a:t>eToken, </a:t>
          </a:r>
          <a:r>
            <a:rPr lang="ru-RU" sz="1100" b="0" i="0" baseline="0">
              <a:solidFill>
                <a:schemeClr val="dk1"/>
              </a:solidFill>
              <a:effectLst/>
              <a:latin typeface="+mn-lt"/>
              <a:ea typeface="+mn-ea"/>
              <a:cs typeface="+mn-cs"/>
            </a:rPr>
            <a:t>Рутокен, </a:t>
          </a:r>
          <a:r>
            <a:rPr lang="en-US" sz="1100" b="0" i="0" baseline="0">
              <a:solidFill>
                <a:schemeClr val="dk1"/>
              </a:solidFill>
              <a:effectLst/>
              <a:latin typeface="+mn-lt"/>
              <a:ea typeface="+mn-ea"/>
              <a:cs typeface="+mn-cs"/>
            </a:rPr>
            <a:t>eSmart, </a:t>
          </a:r>
          <a:r>
            <a:rPr lang="ru-RU" sz="1100" b="0" i="0" baseline="0">
              <a:solidFill>
                <a:schemeClr val="dk1"/>
              </a:solidFill>
              <a:effectLst/>
              <a:latin typeface="+mn-lt"/>
              <a:ea typeface="+mn-ea"/>
              <a:cs typeface="+mn-cs"/>
            </a:rPr>
            <a:t>электронными ключами </a:t>
          </a:r>
          <a:r>
            <a:rPr lang="en-US" sz="1100" b="0" i="0" baseline="0">
              <a:solidFill>
                <a:schemeClr val="dk1"/>
              </a:solidFill>
              <a:effectLst/>
              <a:latin typeface="+mn-lt"/>
              <a:ea typeface="+mn-ea"/>
              <a:cs typeface="+mn-cs"/>
            </a:rPr>
            <a:t>Touch Memory (iButton), </a:t>
          </a:r>
          <a:r>
            <a:rPr lang="ru-RU" sz="1100" b="0" i="0" baseline="0">
              <a:solidFill>
                <a:schemeClr val="dk1"/>
              </a:solidFill>
              <a:effectLst/>
              <a:latin typeface="+mn-lt"/>
              <a:ea typeface="+mn-ea"/>
              <a:cs typeface="+mn-cs"/>
            </a:rPr>
            <a:t>картами </a:t>
          </a:r>
          <a:r>
            <a:rPr lang="en-US" sz="1100" b="0" i="0" baseline="0">
              <a:solidFill>
                <a:schemeClr val="dk1"/>
              </a:solidFill>
              <a:effectLst/>
              <a:latin typeface="+mn-lt"/>
              <a:ea typeface="+mn-ea"/>
              <a:cs typeface="+mn-cs"/>
            </a:rPr>
            <a:t>HID Proximity, </a:t>
          </a:r>
          <a:r>
            <a:rPr lang="ru-RU" sz="1100" b="0" i="0" baseline="0">
              <a:solidFill>
                <a:schemeClr val="dk1"/>
              </a:solidFill>
              <a:effectLst/>
              <a:latin typeface="+mn-lt"/>
              <a:ea typeface="+mn-ea"/>
              <a:cs typeface="+mn-cs"/>
            </a:rPr>
            <a:t>а также с программными решениями различных производителей.</a:t>
          </a:r>
          <a:endParaRPr lang="en-US" sz="1100" b="0" i="0" baseline="0">
            <a:solidFill>
              <a:schemeClr val="dk1"/>
            </a:solidFill>
            <a:effectLst/>
            <a:latin typeface="+mn-lt"/>
            <a:ea typeface="+mn-ea"/>
            <a:cs typeface="+mn-cs"/>
          </a:endParaRPr>
        </a:p>
        <a:p>
          <a:pPr algn="l"/>
          <a:r>
            <a:rPr lang="ru-RU" sz="1100" b="0" i="0" baseline="0">
              <a:solidFill>
                <a:schemeClr val="dk1"/>
              </a:solidFill>
              <a:effectLst/>
              <a:latin typeface="+mn-lt"/>
              <a:ea typeface="+mn-ea"/>
              <a:cs typeface="+mn-cs"/>
            </a:rPr>
            <a:t>• Сертифицированная функциональность модуля «СКН уровня отчуждения (переноса) информации» для </a:t>
          </a:r>
          <a:r>
            <a:rPr lang="en-US" sz="1100" b="0" i="0" baseline="0">
              <a:solidFill>
                <a:schemeClr val="dk1"/>
              </a:solidFill>
              <a:effectLst/>
              <a:latin typeface="+mn-lt"/>
              <a:ea typeface="+mn-ea"/>
              <a:cs typeface="+mn-cs"/>
            </a:rPr>
            <a:t>Dallas Lock 8.0-</a:t>
          </a:r>
          <a:r>
            <a:rPr lang="ru-RU" sz="1100" b="0" i="0" baseline="0">
              <a:solidFill>
                <a:schemeClr val="dk1"/>
              </a:solidFill>
              <a:effectLst/>
              <a:latin typeface="+mn-lt"/>
              <a:ea typeface="+mn-ea"/>
              <a:cs typeface="+mn-cs"/>
            </a:rPr>
            <a:t>К доступна только совместно с аппаратным идентификатором Рутокен ЭЦП 2.0 </a:t>
          </a:r>
          <a:r>
            <a:rPr lang="en-US" sz="1100" b="0" i="0" baseline="0">
              <a:solidFill>
                <a:schemeClr val="dk1"/>
              </a:solidFill>
              <a:effectLst/>
              <a:latin typeface="+mn-lt"/>
              <a:ea typeface="+mn-ea"/>
              <a:cs typeface="+mn-cs"/>
            </a:rPr>
            <a:t>Flash (</a:t>
          </a:r>
          <a:r>
            <a:rPr lang="ru-RU" sz="1100" b="0" i="0" baseline="0">
              <a:solidFill>
                <a:schemeClr val="dk1"/>
              </a:solidFill>
              <a:effectLst/>
              <a:latin typeface="+mn-lt"/>
              <a:ea typeface="+mn-ea"/>
              <a:cs typeface="+mn-cs"/>
            </a:rPr>
            <a:t>приобретается отдельно</a:t>
          </a:r>
          <a:r>
            <a:rPr lang="en-US" sz="1100" b="0" i="0" baseline="0">
              <a:solidFill>
                <a:schemeClr val="dk1"/>
              </a:solidFill>
              <a:effectLst/>
              <a:latin typeface="+mn-lt"/>
              <a:ea typeface="+mn-ea"/>
              <a:cs typeface="+mn-cs"/>
            </a:rPr>
            <a:t>)</a:t>
          </a:r>
          <a:r>
            <a:rPr lang="ru-RU" sz="1100" b="0" i="0" baseline="0">
              <a:solidFill>
                <a:schemeClr val="dk1"/>
              </a:solidFill>
              <a:effectLst/>
              <a:latin typeface="+mn-lt"/>
              <a:ea typeface="+mn-ea"/>
              <a:cs typeface="+mn-cs"/>
            </a:rPr>
            <a:t>.</a:t>
          </a:r>
          <a:endParaRPr lang="ru-RU" sz="1100">
            <a:latin typeface="Arial" panose="020B0604020202020204" pitchFamily="34" charset="0"/>
            <a:cs typeface="Arial" panose="020B0604020202020204" pitchFamily="34" charset="0"/>
          </a:endParaRPr>
        </a:p>
      </xdr:txBody>
    </xdr:sp>
    <xdr:clientData/>
  </xdr:twoCellAnchor>
  <xdr:twoCellAnchor>
    <xdr:from>
      <xdr:col>0</xdr:col>
      <xdr:colOff>123825</xdr:colOff>
      <xdr:row>92</xdr:row>
      <xdr:rowOff>65746</xdr:rowOff>
    </xdr:from>
    <xdr:to>
      <xdr:col>11</xdr:col>
      <xdr:colOff>676275</xdr:colOff>
      <xdr:row>99</xdr:row>
      <xdr:rowOff>4424</xdr:rowOff>
    </xdr:to>
    <xdr:grpSp>
      <xdr:nvGrpSpPr>
        <xdr:cNvPr id="6" name="Группа 5">
          <a:extLst>
            <a:ext uri="{FF2B5EF4-FFF2-40B4-BE49-F238E27FC236}">
              <a16:creationId xmlns:a16="http://schemas.microsoft.com/office/drawing/2014/main" xmlns="" id="{00000000-0008-0000-0500-000006000000}"/>
            </a:ext>
          </a:extLst>
        </xdr:cNvPr>
        <xdr:cNvGrpSpPr/>
      </xdr:nvGrpSpPr>
      <xdr:grpSpPr>
        <a:xfrm>
          <a:off x="123825" y="22316146"/>
          <a:ext cx="12077700" cy="1272178"/>
          <a:chOff x="-7894" y="14492926"/>
          <a:chExt cx="12256127" cy="1067479"/>
        </a:xfrm>
      </xdr:grpSpPr>
      <xdr:sp macro="" textlink="">
        <xdr:nvSpPr>
          <xdr:cNvPr id="7" name="TextBox 6">
            <a:extLst>
              <a:ext uri="{FF2B5EF4-FFF2-40B4-BE49-F238E27FC236}">
                <a16:creationId xmlns:a16="http://schemas.microsoft.com/office/drawing/2014/main" xmlns="" id="{00000000-0008-0000-0500-000007000000}"/>
              </a:ext>
            </a:extLst>
          </xdr:cNvPr>
          <xdr:cNvSpPr txBox="1"/>
        </xdr:nvSpPr>
        <xdr:spPr>
          <a:xfrm>
            <a:off x="-7894" y="14531705"/>
            <a:ext cx="12035764" cy="1028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baseline="0">
                <a:solidFill>
                  <a:schemeClr val="dk1"/>
                </a:solidFill>
                <a:effectLst/>
                <a:latin typeface="+mn-lt"/>
                <a:ea typeface="+mn-ea"/>
                <a:cs typeface="+mn-cs"/>
              </a:rPr>
              <a:t>* «x» – </a:t>
            </a:r>
            <a:r>
              <a:rPr lang="ru-RU" sz="1100" b="0" i="0" baseline="0">
                <a:solidFill>
                  <a:schemeClr val="dk1"/>
                </a:solidFill>
                <a:effectLst/>
                <a:latin typeface="+mn-lt"/>
                <a:ea typeface="+mn-ea"/>
                <a:cs typeface="+mn-cs"/>
              </a:rPr>
              <a:t>диапазон приобретаемых лицензий по количеству рабочих станций, серверов; «</a:t>
            </a:r>
            <a:r>
              <a:rPr lang="en-US" sz="1100" b="0" i="0" baseline="0">
                <a:solidFill>
                  <a:schemeClr val="dk1"/>
                </a:solidFill>
                <a:effectLst/>
                <a:latin typeface="+mn-lt"/>
                <a:ea typeface="+mn-ea"/>
                <a:cs typeface="+mn-cs"/>
              </a:rPr>
              <a:t>y» – </a:t>
            </a:r>
            <a:r>
              <a:rPr lang="ru-RU" sz="1100" b="0" i="0" baseline="0">
                <a:solidFill>
                  <a:schemeClr val="dk1"/>
                </a:solidFill>
                <a:effectLst/>
                <a:latin typeface="+mn-lt"/>
                <a:ea typeface="+mn-ea"/>
                <a:cs typeface="+mn-cs"/>
              </a:rPr>
              <a:t>тип системы сертификации: </a:t>
            </a:r>
            <a:r>
              <a:rPr lang="en-US" sz="1100" b="0" i="0" baseline="0">
                <a:solidFill>
                  <a:schemeClr val="dk1"/>
                </a:solidFill>
                <a:effectLst/>
                <a:latin typeface="+mn-lt"/>
                <a:ea typeface="+mn-ea"/>
                <a:cs typeface="+mn-cs"/>
              </a:rPr>
              <a:t>FSTEC (</a:t>
            </a:r>
            <a:r>
              <a:rPr lang="ru-RU" sz="1100" b="0" i="0" baseline="0">
                <a:solidFill>
                  <a:schemeClr val="dk1"/>
                </a:solidFill>
                <a:effectLst/>
                <a:latin typeface="+mn-lt"/>
                <a:ea typeface="+mn-ea"/>
                <a:cs typeface="+mn-cs"/>
              </a:rPr>
              <a:t>ФСТЭК России), </a:t>
            </a:r>
            <a:r>
              <a:rPr lang="en-US" sz="1100" b="0" i="0" baseline="0">
                <a:solidFill>
                  <a:schemeClr val="dk1"/>
                </a:solidFill>
                <a:effectLst/>
                <a:latin typeface="+mn-lt"/>
                <a:ea typeface="+mn-ea"/>
                <a:cs typeface="+mn-cs"/>
              </a:rPr>
              <a:t>MO (</a:t>
            </a:r>
            <a:r>
              <a:rPr lang="ru-RU" sz="1100" b="0" i="0" baseline="0">
                <a:solidFill>
                  <a:schemeClr val="dk1"/>
                </a:solidFill>
                <a:effectLst/>
                <a:latin typeface="+mn-lt"/>
                <a:ea typeface="+mn-ea"/>
                <a:cs typeface="+mn-cs"/>
              </a:rPr>
              <a:t>Минобороны России); «</a:t>
            </a:r>
            <a:r>
              <a:rPr lang="en-US" sz="1100" b="0" i="0" baseline="0">
                <a:solidFill>
                  <a:schemeClr val="dk1"/>
                </a:solidFill>
                <a:effectLst/>
                <a:latin typeface="+mn-lt"/>
                <a:ea typeface="+mn-ea"/>
                <a:cs typeface="+mn-cs"/>
              </a:rPr>
              <a:t>z» – </a:t>
            </a:r>
            <a:r>
              <a:rPr lang="ru-RU" sz="1100" b="0" i="0" baseline="0">
                <a:solidFill>
                  <a:schemeClr val="dk1"/>
                </a:solidFill>
                <a:effectLst/>
                <a:latin typeface="+mn-lt"/>
                <a:ea typeface="+mn-ea"/>
                <a:cs typeface="+mn-cs"/>
              </a:rPr>
              <a:t>срок оказания гарантийного сопровождения: </a:t>
            </a:r>
            <a:r>
              <a:rPr lang="en-US" sz="1100" b="0" i="0" baseline="0">
                <a:solidFill>
                  <a:schemeClr val="dk1"/>
                </a:solidFill>
                <a:effectLst/>
                <a:latin typeface="+mn-lt"/>
                <a:ea typeface="+mn-ea"/>
                <a:cs typeface="+mn-cs"/>
              </a:rPr>
              <a:t>12M </a:t>
            </a:r>
            <a:r>
              <a:rPr lang="ru-RU" sz="1100" b="0" i="0" baseline="0">
                <a:solidFill>
                  <a:schemeClr val="dk1"/>
                </a:solidFill>
                <a:effectLst/>
                <a:latin typeface="+mn-lt"/>
                <a:ea typeface="+mn-ea"/>
                <a:cs typeface="+mn-cs"/>
              </a:rPr>
              <a:t>–</a:t>
            </a:r>
            <a:r>
              <a:rPr lang="en-US" sz="1100" b="0" i="0" baseline="0">
                <a:solidFill>
                  <a:schemeClr val="dk1"/>
                </a:solidFill>
                <a:effectLst/>
                <a:latin typeface="+mn-lt"/>
                <a:ea typeface="+mn-ea"/>
                <a:cs typeface="+mn-cs"/>
              </a:rPr>
              <a:t> </a:t>
            </a:r>
            <a:r>
              <a:rPr lang="ru-RU" sz="1100" b="0" i="0" baseline="0">
                <a:solidFill>
                  <a:schemeClr val="dk1"/>
                </a:solidFill>
                <a:effectLst/>
                <a:latin typeface="+mn-lt"/>
                <a:ea typeface="+mn-ea"/>
                <a:cs typeface="+mn-cs"/>
              </a:rPr>
              <a:t>12 месяцев, 36</a:t>
            </a:r>
            <a:r>
              <a:rPr lang="en-US" sz="1100" b="0" i="0" baseline="0">
                <a:solidFill>
                  <a:schemeClr val="dk1"/>
                </a:solidFill>
                <a:effectLst/>
                <a:latin typeface="+mn-lt"/>
                <a:ea typeface="+mn-ea"/>
                <a:cs typeface="+mn-cs"/>
              </a:rPr>
              <a:t>M </a:t>
            </a:r>
            <a:r>
              <a:rPr lang="ru-RU" sz="1100" b="0" i="0" baseline="0">
                <a:solidFill>
                  <a:schemeClr val="dk1"/>
                </a:solidFill>
                <a:effectLst/>
                <a:latin typeface="+mn-lt"/>
                <a:ea typeface="+mn-ea"/>
                <a:cs typeface="+mn-cs"/>
              </a:rPr>
              <a:t>–</a:t>
            </a:r>
            <a:r>
              <a:rPr lang="en-US" sz="1100" b="0" i="0" baseline="0">
                <a:solidFill>
                  <a:schemeClr val="dk1"/>
                </a:solidFill>
                <a:effectLst/>
                <a:latin typeface="+mn-lt"/>
                <a:ea typeface="+mn-ea"/>
                <a:cs typeface="+mn-cs"/>
              </a:rPr>
              <a:t> </a:t>
            </a:r>
            <a:r>
              <a:rPr lang="ru-RU" sz="1100" b="0" i="0" baseline="0">
                <a:solidFill>
                  <a:schemeClr val="dk1"/>
                </a:solidFill>
                <a:effectLst/>
                <a:latin typeface="+mn-lt"/>
                <a:ea typeface="+mn-ea"/>
                <a:cs typeface="+mn-cs"/>
              </a:rPr>
              <a:t>36 месяцев.</a:t>
            </a:r>
          </a:p>
          <a:p>
            <a:r>
              <a:rPr lang="ru-RU" sz="1100" b="0" i="0" baseline="0">
                <a:solidFill>
                  <a:schemeClr val="dk1"/>
                </a:solidFill>
                <a:effectLst/>
                <a:latin typeface="+mn-lt"/>
                <a:ea typeface="+mn-ea"/>
                <a:cs typeface="+mn-cs"/>
              </a:rPr>
              <a:t>** На основании статьи № 149 п. 2 пп. 26 НК РФ стоимость передаваемых неисключительных прав на используемое программное обеспечение не облагается НДС.</a:t>
            </a:r>
          </a:p>
          <a:p>
            <a:r>
              <a:rPr lang="ru-RU" sz="1100" b="0" i="0" baseline="0">
                <a:solidFill>
                  <a:schemeClr val="dk1"/>
                </a:solidFill>
                <a:effectLst/>
                <a:latin typeface="+mn-lt"/>
                <a:ea typeface="+mn-ea"/>
                <a:cs typeface="+mn-cs"/>
              </a:rPr>
              <a:t>*** </a:t>
            </a:r>
            <a:r>
              <a:rPr lang="ru-RU" sz="1100" b="0" i="0">
                <a:solidFill>
                  <a:schemeClr val="dk1"/>
                </a:solidFill>
                <a:effectLst/>
                <a:latin typeface="+mn-lt"/>
                <a:ea typeface="+mn-ea"/>
                <a:cs typeface="+mn-cs"/>
              </a:rPr>
              <a:t>Модуль СОВ (система обнаружения вторжений уровня хоста) расширен дополнительным функционалом</a:t>
            </a:r>
            <a:r>
              <a:rPr lang="ru-RU" sz="1100" b="1" i="0">
                <a:solidFill>
                  <a:schemeClr val="dk1"/>
                </a:solidFill>
                <a:effectLst/>
                <a:latin typeface="+mn-lt"/>
                <a:ea typeface="+mn-ea"/>
                <a:cs typeface="+mn-cs"/>
              </a:rPr>
              <a:t> </a:t>
            </a:r>
            <a:r>
              <a:rPr lang="ru-RU" sz="1100" b="0" i="0">
                <a:solidFill>
                  <a:schemeClr val="dk1"/>
                </a:solidFill>
                <a:effectLst/>
                <a:latin typeface="+mn-lt"/>
                <a:ea typeface="+mn-ea"/>
                <a:cs typeface="+mn-cs"/>
              </a:rPr>
              <a:t>Система обнаружения и реагирования (СОР)</a:t>
            </a:r>
            <a:endParaRPr lang="ru-RU">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ru-RU" sz="1100" b="0" i="0" baseline="0">
                <a:solidFill>
                  <a:schemeClr val="dk1"/>
                </a:solidFill>
                <a:effectLst/>
                <a:latin typeface="+mn-lt"/>
                <a:ea typeface="+mn-ea"/>
                <a:cs typeface="+mn-cs"/>
              </a:rPr>
              <a:t>**** В стоимость входит НДС 2</a:t>
            </a:r>
            <a:r>
              <a:rPr lang="en-US" sz="1100" b="0" i="0" baseline="0">
                <a:solidFill>
                  <a:schemeClr val="dk1"/>
                </a:solidFill>
                <a:effectLst/>
                <a:latin typeface="+mn-lt"/>
                <a:ea typeface="+mn-ea"/>
                <a:cs typeface="+mn-cs"/>
              </a:rPr>
              <a:t>2</a:t>
            </a:r>
            <a:r>
              <a:rPr lang="ru-RU" sz="1100" b="0" i="0" baseline="0">
                <a:solidFill>
                  <a:schemeClr val="dk1"/>
                </a:solidFill>
                <a:effectLst/>
                <a:latin typeface="+mn-lt"/>
                <a:ea typeface="+mn-ea"/>
                <a:cs typeface="+mn-cs"/>
              </a:rPr>
              <a:t>%. </a:t>
            </a:r>
            <a:endParaRPr lang="en-US" sz="1100" b="0" i="0" baseline="0">
              <a:solidFill>
                <a:schemeClr val="dk1"/>
              </a:solidFill>
              <a:effectLst/>
              <a:latin typeface="+mn-lt"/>
              <a:ea typeface="+mn-ea"/>
              <a:cs typeface="+mn-cs"/>
            </a:endParaRPr>
          </a:p>
        </xdr:txBody>
      </xdr:sp>
      <xdr:cxnSp macro="">
        <xdr:nvCxnSpPr>
          <xdr:cNvPr id="8" name="Прямая соединительная линия 7">
            <a:extLst>
              <a:ext uri="{FF2B5EF4-FFF2-40B4-BE49-F238E27FC236}">
                <a16:creationId xmlns:a16="http://schemas.microsoft.com/office/drawing/2014/main" xmlns="" id="{00000000-0008-0000-0500-000008000000}"/>
              </a:ext>
            </a:extLst>
          </xdr:cNvPr>
          <xdr:cNvCxnSpPr/>
        </xdr:nvCxnSpPr>
        <xdr:spPr>
          <a:xfrm>
            <a:off x="59491" y="14492926"/>
            <a:ext cx="12188742" cy="0"/>
          </a:xfrm>
          <a:prstGeom prst="line">
            <a:avLst/>
          </a:prstGeom>
        </xdr:spPr>
        <xdr:style>
          <a:lnRef idx="1">
            <a:schemeClr val="dk1"/>
          </a:lnRef>
          <a:fillRef idx="0">
            <a:schemeClr val="dk1"/>
          </a:fillRef>
          <a:effectRef idx="0">
            <a:schemeClr val="dk1"/>
          </a:effectRef>
          <a:fontRef idx="minor">
            <a:schemeClr val="tx1"/>
          </a:fontRef>
        </xdr:style>
      </xdr:cxnSp>
    </xdr:grpSp>
    <xdr:clientData/>
  </xdr:twoCellAnchor>
  <xdr:twoCellAnchor editAs="oneCell">
    <xdr:from>
      <xdr:col>1</xdr:col>
      <xdr:colOff>40457</xdr:colOff>
      <xdr:row>85</xdr:row>
      <xdr:rowOff>84794</xdr:rowOff>
    </xdr:from>
    <xdr:to>
      <xdr:col>11</xdr:col>
      <xdr:colOff>679450</xdr:colOff>
      <xdr:row>88</xdr:row>
      <xdr:rowOff>1285</xdr:rowOff>
    </xdr:to>
    <xdr:pic>
      <xdr:nvPicPr>
        <xdr:cNvPr id="10" name="Рисунок 9">
          <a:extLst>
            <a:ext uri="{FF2B5EF4-FFF2-40B4-BE49-F238E27FC236}">
              <a16:creationId xmlns:a16="http://schemas.microsoft.com/office/drawing/2014/main" xmlns="" id="{00000000-0008-0000-0500-00000A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73807" y="21001694"/>
          <a:ext cx="12030893" cy="487991"/>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xdr:col>
          <xdr:colOff>85725</xdr:colOff>
          <xdr:row>8</xdr:row>
          <xdr:rowOff>47625</xdr:rowOff>
        </xdr:from>
        <xdr:to>
          <xdr:col>1</xdr:col>
          <xdr:colOff>276225</xdr:colOff>
          <xdr:row>8</xdr:row>
          <xdr:rowOff>428625</xdr:rowOff>
        </xdr:to>
        <xdr:sp macro="" textlink="">
          <xdr:nvSpPr>
            <xdr:cNvPr id="5121" name="Check Box 1" hidden="1">
              <a:extLst>
                <a:ext uri="{63B3BB69-23CF-44E3-9099-C40C66FF867C}">
                  <a14:compatExt spid="_x0000_s5121"/>
                </a:ext>
                <a:ext uri="{FF2B5EF4-FFF2-40B4-BE49-F238E27FC236}">
                  <a16:creationId xmlns:a16="http://schemas.microsoft.com/office/drawing/2014/main" xmlns="" id="{00000000-0008-0000-05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10</xdr:row>
          <xdr:rowOff>66675</xdr:rowOff>
        </xdr:from>
        <xdr:to>
          <xdr:col>1</xdr:col>
          <xdr:colOff>276225</xdr:colOff>
          <xdr:row>10</xdr:row>
          <xdr:rowOff>447675</xdr:rowOff>
        </xdr:to>
        <xdr:sp macro="" textlink="">
          <xdr:nvSpPr>
            <xdr:cNvPr id="5126" name="Check Box 6" hidden="1">
              <a:extLst>
                <a:ext uri="{63B3BB69-23CF-44E3-9099-C40C66FF867C}">
                  <a14:compatExt spid="_x0000_s5126"/>
                </a:ext>
                <a:ext uri="{FF2B5EF4-FFF2-40B4-BE49-F238E27FC236}">
                  <a16:creationId xmlns:a16="http://schemas.microsoft.com/office/drawing/2014/main" xmlns="" id="{00000000-0008-0000-05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11</xdr:row>
          <xdr:rowOff>66675</xdr:rowOff>
        </xdr:from>
        <xdr:to>
          <xdr:col>1</xdr:col>
          <xdr:colOff>276225</xdr:colOff>
          <xdr:row>11</xdr:row>
          <xdr:rowOff>447675</xdr:rowOff>
        </xdr:to>
        <xdr:sp macro="" textlink="">
          <xdr:nvSpPr>
            <xdr:cNvPr id="5127" name="Check Box 7" hidden="1">
              <a:extLst>
                <a:ext uri="{63B3BB69-23CF-44E3-9099-C40C66FF867C}">
                  <a14:compatExt spid="_x0000_s5127"/>
                </a:ext>
                <a:ext uri="{FF2B5EF4-FFF2-40B4-BE49-F238E27FC236}">
                  <a16:creationId xmlns:a16="http://schemas.microsoft.com/office/drawing/2014/main" xmlns="" id="{00000000-0008-0000-0500-00000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4</xdr:col>
      <xdr:colOff>476922</xdr:colOff>
      <xdr:row>2</xdr:row>
      <xdr:rowOff>112058</xdr:rowOff>
    </xdr:from>
    <xdr:to>
      <xdr:col>4</xdr:col>
      <xdr:colOff>662681</xdr:colOff>
      <xdr:row>2</xdr:row>
      <xdr:rowOff>297817</xdr:rowOff>
    </xdr:to>
    <xdr:pic>
      <xdr:nvPicPr>
        <xdr:cNvPr id="17" name="Рисунок 16">
          <a:extLst>
            <a:ext uri="{FF2B5EF4-FFF2-40B4-BE49-F238E27FC236}">
              <a16:creationId xmlns:a16="http://schemas.microsoft.com/office/drawing/2014/main" xmlns="" id="{00000000-0008-0000-0500-000011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7296822" y="1376978"/>
          <a:ext cx="185759" cy="185759"/>
        </a:xfrm>
        <a:prstGeom prst="rect">
          <a:avLst/>
        </a:prstGeom>
      </xdr:spPr>
    </xdr:pic>
    <xdr:clientData/>
  </xdr:twoCellAnchor>
  <xdr:twoCellAnchor>
    <xdr:from>
      <xdr:col>0</xdr:col>
      <xdr:colOff>60960</xdr:colOff>
      <xdr:row>2</xdr:row>
      <xdr:rowOff>38101</xdr:rowOff>
    </xdr:from>
    <xdr:to>
      <xdr:col>22</xdr:col>
      <xdr:colOff>15240</xdr:colOff>
      <xdr:row>3</xdr:row>
      <xdr:rowOff>0</xdr:rowOff>
    </xdr:to>
    <xdr:sp macro="" textlink="">
      <xdr:nvSpPr>
        <xdr:cNvPr id="18" name="Прямоугольник 17">
          <a:hlinkClick xmlns:r="http://schemas.openxmlformats.org/officeDocument/2006/relationships" r:id="rId3"/>
          <a:extLst>
            <a:ext uri="{FF2B5EF4-FFF2-40B4-BE49-F238E27FC236}">
              <a16:creationId xmlns:a16="http://schemas.microsoft.com/office/drawing/2014/main" xmlns="" id="{00000000-0008-0000-0500-000012000000}"/>
            </a:ext>
          </a:extLst>
        </xdr:cNvPr>
        <xdr:cNvSpPr/>
      </xdr:nvSpPr>
      <xdr:spPr>
        <a:xfrm>
          <a:off x="60960" y="1303021"/>
          <a:ext cx="12771120" cy="33527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editAs="oneCell">
    <xdr:from>
      <xdr:col>0</xdr:col>
      <xdr:colOff>1</xdr:colOff>
      <xdr:row>0</xdr:row>
      <xdr:rowOff>0</xdr:rowOff>
    </xdr:from>
    <xdr:to>
      <xdr:col>11</xdr:col>
      <xdr:colOff>666751</xdr:colOff>
      <xdr:row>1</xdr:row>
      <xdr:rowOff>1051560</xdr:rowOff>
    </xdr:to>
    <xdr:pic>
      <xdr:nvPicPr>
        <xdr:cNvPr id="19" name="Рисунок 18">
          <a:hlinkClick xmlns:r="http://schemas.openxmlformats.org/officeDocument/2006/relationships" r:id="rId4"/>
          <a:extLst>
            <a:ext uri="{FF2B5EF4-FFF2-40B4-BE49-F238E27FC236}">
              <a16:creationId xmlns:a16="http://schemas.microsoft.com/office/drawing/2014/main" xmlns="" id="{00000000-0008-0000-0500-000013000000}"/>
            </a:ext>
          </a:extLst>
        </xdr:cNvPr>
        <xdr:cNvPicPr>
          <a:picLocks noChangeAspect="1"/>
        </xdr:cNvPicPr>
      </xdr:nvPicPr>
      <xdr:blipFill>
        <a:blip xmlns:r="http://schemas.openxmlformats.org/officeDocument/2006/relationships" r:embed="rId5"/>
        <a:stretch>
          <a:fillRect/>
        </a:stretch>
      </xdr:blipFill>
      <xdr:spPr>
        <a:xfrm>
          <a:off x="1" y="0"/>
          <a:ext cx="12128500" cy="1242060"/>
        </a:xfrm>
        <a:prstGeom prst="rect">
          <a:avLst/>
        </a:prstGeom>
      </xdr:spPr>
    </xdr:pic>
    <xdr:clientData/>
  </xdr:twoCellAnchor>
  <xdr:twoCellAnchor editAs="oneCell">
    <xdr:from>
      <xdr:col>1</xdr:col>
      <xdr:colOff>51436</xdr:colOff>
      <xdr:row>82</xdr:row>
      <xdr:rowOff>53552</xdr:rowOff>
    </xdr:from>
    <xdr:to>
      <xdr:col>11</xdr:col>
      <xdr:colOff>695325</xdr:colOff>
      <xdr:row>85</xdr:row>
      <xdr:rowOff>21453</xdr:rowOff>
    </xdr:to>
    <xdr:pic>
      <xdr:nvPicPr>
        <xdr:cNvPr id="9" name="Рисунок 8">
          <a:extLst>
            <a:ext uri="{FF2B5EF4-FFF2-40B4-BE49-F238E27FC236}">
              <a16:creationId xmlns:a16="http://schemas.microsoft.com/office/drawing/2014/main" xmlns="" id="{00000000-0008-0000-0500-000009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84786" y="20398952"/>
          <a:ext cx="12035789" cy="539401"/>
        </a:xfrm>
        <a:prstGeom prst="rect">
          <a:avLst/>
        </a:prstGeom>
      </xdr:spPr>
    </xdr:pic>
    <xdr:clientData/>
  </xdr:twoCellAnchor>
  <xdr:twoCellAnchor>
    <xdr:from>
      <xdr:col>0</xdr:col>
      <xdr:colOff>74084</xdr:colOff>
      <xdr:row>27</xdr:row>
      <xdr:rowOff>497418</xdr:rowOff>
    </xdr:from>
    <xdr:to>
      <xdr:col>3</xdr:col>
      <xdr:colOff>116416</xdr:colOff>
      <xdr:row>29</xdr:row>
      <xdr:rowOff>116417</xdr:rowOff>
    </xdr:to>
    <xdr:sp macro="" textlink="">
      <xdr:nvSpPr>
        <xdr:cNvPr id="3" name="Прямоугольник 2">
          <a:hlinkClick xmlns:r="http://schemas.openxmlformats.org/officeDocument/2006/relationships" r:id="rId7"/>
          <a:extLst>
            <a:ext uri="{FF2B5EF4-FFF2-40B4-BE49-F238E27FC236}">
              <a16:creationId xmlns:a16="http://schemas.microsoft.com/office/drawing/2014/main" xmlns="" id="{00000000-0008-0000-0500-000003000000}"/>
            </a:ext>
          </a:extLst>
        </xdr:cNvPr>
        <xdr:cNvSpPr/>
      </xdr:nvSpPr>
      <xdr:spPr>
        <a:xfrm>
          <a:off x="74084" y="12160251"/>
          <a:ext cx="5958415" cy="33866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1">
              <a:latin typeface="+mn-lt"/>
              <a:cs typeface="Arial" panose="020B0604020202020204" pitchFamily="34" charset="0"/>
            </a:rPr>
            <a:t>*</a:t>
          </a:r>
          <a:r>
            <a:rPr lang="ru-RU" sz="1100" b="1">
              <a:latin typeface="+mn-lt"/>
              <a:cs typeface="Arial" panose="020B0604020202020204" pitchFamily="34" charset="0"/>
            </a:rPr>
            <a:t>БОЛЕЕ ПОЛНЫЙ СПИСОК ВАРИАНТОВ ЕЦУ ВО ВКЛАДКЕ ЕЦУ</a:t>
          </a:r>
          <a:r>
            <a:rPr lang="ru-RU" sz="1100" b="1" baseline="0">
              <a:latin typeface="+mn-lt"/>
              <a:cs typeface="Arial" panose="020B0604020202020204" pitchFamily="34" charset="0"/>
            </a:rPr>
            <a:t> </a:t>
          </a:r>
          <a:r>
            <a:rPr lang="en-US" sz="1100" b="1" baseline="0">
              <a:latin typeface="+mn-lt"/>
              <a:cs typeface="Arial" panose="020B0604020202020204" pitchFamily="34" charset="0"/>
            </a:rPr>
            <a:t>DALLAS LOCK      </a:t>
          </a:r>
          <a:r>
            <a:rPr lang="en-US" sz="1100" b="1">
              <a:latin typeface="+mn-lt"/>
              <a:cs typeface="Arial" panose="020B0604020202020204" pitchFamily="34" charset="0"/>
            </a:rPr>
            <a:t>&gt;&gt;</a:t>
          </a:r>
          <a:endParaRPr lang="ru-RU" sz="1100" b="1">
            <a:latin typeface="+mn-lt"/>
            <a:cs typeface="Arial" panose="020B0604020202020204" pitchFamily="34" charset="0"/>
          </a:endParaRPr>
        </a:p>
      </xdr:txBody>
    </xdr:sp>
    <xdr:clientData/>
  </xdr:twoCellAnchor>
  <mc:AlternateContent xmlns:mc="http://schemas.openxmlformats.org/markup-compatibility/2006">
    <mc:Choice xmlns:a14="http://schemas.microsoft.com/office/drawing/2010/main" Requires="a14">
      <xdr:twoCellAnchor editAs="oneCell">
        <xdr:from>
          <xdr:col>2</xdr:col>
          <xdr:colOff>3495675</xdr:colOff>
          <xdr:row>25</xdr:row>
          <xdr:rowOff>95250</xdr:rowOff>
        </xdr:from>
        <xdr:to>
          <xdr:col>3</xdr:col>
          <xdr:colOff>66675</xdr:colOff>
          <xdr:row>27</xdr:row>
          <xdr:rowOff>19050</xdr:rowOff>
        </xdr:to>
        <xdr:sp macro="" textlink="">
          <xdr:nvSpPr>
            <xdr:cNvPr id="5136" name="Check Box 16" hidden="1">
              <a:extLst>
                <a:ext uri="{63B3BB69-23CF-44E3-9099-C40C66FF867C}">
                  <a14:compatExt spid="_x0000_s5136"/>
                </a:ext>
                <a:ext uri="{FF2B5EF4-FFF2-40B4-BE49-F238E27FC236}">
                  <a16:creationId xmlns:a16="http://schemas.microsoft.com/office/drawing/2014/main" xmlns="" id="{00000000-0008-0000-0500-00001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533400</xdr:colOff>
          <xdr:row>25</xdr:row>
          <xdr:rowOff>95250</xdr:rowOff>
        </xdr:from>
        <xdr:to>
          <xdr:col>11</xdr:col>
          <xdr:colOff>76200</xdr:colOff>
          <xdr:row>27</xdr:row>
          <xdr:rowOff>19050</xdr:rowOff>
        </xdr:to>
        <xdr:sp macro="" textlink="">
          <xdr:nvSpPr>
            <xdr:cNvPr id="5137" name="Check Box 17" hidden="1">
              <a:extLst>
                <a:ext uri="{63B3BB69-23CF-44E3-9099-C40C66FF867C}">
                  <a14:compatExt spid="_x0000_s5137"/>
                </a:ext>
                <a:ext uri="{FF2B5EF4-FFF2-40B4-BE49-F238E27FC236}">
                  <a16:creationId xmlns:a16="http://schemas.microsoft.com/office/drawing/2014/main" xmlns="" id="{00000000-0008-0000-0500-00001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8</xdr:row>
          <xdr:rowOff>47625</xdr:rowOff>
        </xdr:from>
        <xdr:to>
          <xdr:col>1</xdr:col>
          <xdr:colOff>276225</xdr:colOff>
          <xdr:row>8</xdr:row>
          <xdr:rowOff>428625</xdr:rowOff>
        </xdr:to>
        <xdr:sp macro="" textlink="">
          <xdr:nvSpPr>
            <xdr:cNvPr id="5148" name="Check Box 28" hidden="1">
              <a:extLst>
                <a:ext uri="{63B3BB69-23CF-44E3-9099-C40C66FF867C}">
                  <a14:compatExt spid="_x0000_s5148"/>
                </a:ext>
                <a:ext uri="{FF2B5EF4-FFF2-40B4-BE49-F238E27FC236}">
                  <a16:creationId xmlns:a16="http://schemas.microsoft.com/office/drawing/2014/main" xmlns="" id="{00000000-0008-0000-0500-00001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9</xdr:row>
          <xdr:rowOff>171450</xdr:rowOff>
        </xdr:from>
        <xdr:to>
          <xdr:col>1</xdr:col>
          <xdr:colOff>276225</xdr:colOff>
          <xdr:row>9</xdr:row>
          <xdr:rowOff>552450</xdr:rowOff>
        </xdr:to>
        <xdr:sp macro="" textlink="">
          <xdr:nvSpPr>
            <xdr:cNvPr id="5149" name="Check Box 29" hidden="1">
              <a:extLst>
                <a:ext uri="{63B3BB69-23CF-44E3-9099-C40C66FF867C}">
                  <a14:compatExt spid="_x0000_s5149"/>
                </a:ext>
                <a:ext uri="{FF2B5EF4-FFF2-40B4-BE49-F238E27FC236}">
                  <a16:creationId xmlns:a16="http://schemas.microsoft.com/office/drawing/2014/main" xmlns="" id="{00000000-0008-0000-0500-00001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11</xdr:row>
          <xdr:rowOff>66675</xdr:rowOff>
        </xdr:from>
        <xdr:to>
          <xdr:col>1</xdr:col>
          <xdr:colOff>276225</xdr:colOff>
          <xdr:row>11</xdr:row>
          <xdr:rowOff>447675</xdr:rowOff>
        </xdr:to>
        <xdr:sp macro="" textlink="">
          <xdr:nvSpPr>
            <xdr:cNvPr id="5151" name="Check Box 31" hidden="1">
              <a:extLst>
                <a:ext uri="{63B3BB69-23CF-44E3-9099-C40C66FF867C}">
                  <a14:compatExt spid="_x0000_s5151"/>
                </a:ext>
                <a:ext uri="{FF2B5EF4-FFF2-40B4-BE49-F238E27FC236}">
                  <a16:creationId xmlns:a16="http://schemas.microsoft.com/office/drawing/2014/main" xmlns="" id="{00000000-0008-0000-0500-00001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6350</xdr:colOff>
      <xdr:row>88</xdr:row>
      <xdr:rowOff>50800</xdr:rowOff>
    </xdr:from>
    <xdr:to>
      <xdr:col>11</xdr:col>
      <xdr:colOff>644526</xdr:colOff>
      <xdr:row>92</xdr:row>
      <xdr:rowOff>5976</xdr:rowOff>
    </xdr:to>
    <xdr:pic>
      <xdr:nvPicPr>
        <xdr:cNvPr id="12" name="Рисунок 11">
          <a:extLst>
            <a:ext uri="{FF2B5EF4-FFF2-40B4-BE49-F238E27FC236}">
              <a16:creationId xmlns:a16="http://schemas.microsoft.com/office/drawing/2014/main" xmlns="" id="{00000000-0008-0000-0500-00000C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33350" y="21513800"/>
          <a:ext cx="11972926" cy="717176"/>
        </a:xfrm>
        <a:prstGeom prst="rect">
          <a:avLst/>
        </a:prstGeom>
      </xdr:spPr>
    </xdr:pic>
    <xdr:clientData/>
  </xdr:twoCellAnchor>
  <xdr:twoCellAnchor editAs="oneCell">
    <xdr:from>
      <xdr:col>0</xdr:col>
      <xdr:colOff>9525</xdr:colOff>
      <xdr:row>29</xdr:row>
      <xdr:rowOff>3174</xdr:rowOff>
    </xdr:from>
    <xdr:to>
      <xdr:col>22</xdr:col>
      <xdr:colOff>19050</xdr:colOff>
      <xdr:row>32</xdr:row>
      <xdr:rowOff>182880</xdr:rowOff>
    </xdr:to>
    <xdr:pic>
      <xdr:nvPicPr>
        <xdr:cNvPr id="21" name="Рисунок 20">
          <a:extLst>
            <a:ext uri="{FF2B5EF4-FFF2-40B4-BE49-F238E27FC236}">
              <a16:creationId xmlns:a16="http://schemas.microsoft.com/office/drawing/2014/main" xmlns="" id="{00000000-0008-0000-0500-00001500000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9525" y="9509124"/>
          <a:ext cx="12344400" cy="751206"/>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xdr:col>
          <xdr:colOff>3438525</xdr:colOff>
          <xdr:row>5</xdr:row>
          <xdr:rowOff>76200</xdr:rowOff>
        </xdr:from>
        <xdr:to>
          <xdr:col>2</xdr:col>
          <xdr:colOff>3657600</xdr:colOff>
          <xdr:row>7</xdr:row>
          <xdr:rowOff>9525</xdr:rowOff>
        </xdr:to>
        <xdr:sp macro="" textlink="">
          <xdr:nvSpPr>
            <xdr:cNvPr id="5155" name="Check Box 35" hidden="1">
              <a:extLst>
                <a:ext uri="{63B3BB69-23CF-44E3-9099-C40C66FF867C}">
                  <a14:compatExt spid="_x0000_s5155"/>
                </a:ext>
                <a:ext uri="{FF2B5EF4-FFF2-40B4-BE49-F238E27FC236}">
                  <a16:creationId xmlns:a16="http://schemas.microsoft.com/office/drawing/2014/main" xmlns="" id="{00000000-0008-0000-0500-00002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514350</xdr:colOff>
          <xdr:row>5</xdr:row>
          <xdr:rowOff>95250</xdr:rowOff>
        </xdr:from>
        <xdr:to>
          <xdr:col>11</xdr:col>
          <xdr:colOff>57150</xdr:colOff>
          <xdr:row>7</xdr:row>
          <xdr:rowOff>9525</xdr:rowOff>
        </xdr:to>
        <xdr:sp macro="" textlink="">
          <xdr:nvSpPr>
            <xdr:cNvPr id="5156" name="Check Box 36" hidden="1">
              <a:extLst>
                <a:ext uri="{63B3BB69-23CF-44E3-9099-C40C66FF867C}">
                  <a14:compatExt spid="_x0000_s5156"/>
                </a:ext>
                <a:ext uri="{FF2B5EF4-FFF2-40B4-BE49-F238E27FC236}">
                  <a16:creationId xmlns:a16="http://schemas.microsoft.com/office/drawing/2014/main" xmlns="" id="{00000000-0008-0000-0500-00002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7622</xdr:colOff>
      <xdr:row>32</xdr:row>
      <xdr:rowOff>175259</xdr:rowOff>
    </xdr:from>
    <xdr:to>
      <xdr:col>13</xdr:col>
      <xdr:colOff>0</xdr:colOff>
      <xdr:row>33</xdr:row>
      <xdr:rowOff>14342</xdr:rowOff>
    </xdr:to>
    <xdr:pic>
      <xdr:nvPicPr>
        <xdr:cNvPr id="11" name="Рисунок 10">
          <a:extLst>
            <a:ext uri="{FF2B5EF4-FFF2-40B4-BE49-F238E27FC236}">
              <a16:creationId xmlns:a16="http://schemas.microsoft.com/office/drawing/2014/main" xmlns="" id="{00000000-0008-0000-0500-00000B00000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7622" y="10252709"/>
          <a:ext cx="12336778" cy="772533"/>
        </a:xfrm>
        <a:prstGeom prst="rect">
          <a:avLst/>
        </a:prstGeom>
      </xdr:spPr>
    </xdr:pic>
    <xdr:clientData/>
  </xdr:twoCellAnchor>
  <xdr:twoCellAnchor editAs="oneCell">
    <xdr:from>
      <xdr:col>1</xdr:col>
      <xdr:colOff>47625</xdr:colOff>
      <xdr:row>74</xdr:row>
      <xdr:rowOff>84269</xdr:rowOff>
    </xdr:from>
    <xdr:to>
      <xdr:col>11</xdr:col>
      <xdr:colOff>676275</xdr:colOff>
      <xdr:row>81</xdr:row>
      <xdr:rowOff>163383</xdr:rowOff>
    </xdr:to>
    <xdr:pic>
      <xdr:nvPicPr>
        <xdr:cNvPr id="13" name="Рисунок 12">
          <a:extLst>
            <a:ext uri="{FF2B5EF4-FFF2-40B4-BE49-F238E27FC236}">
              <a16:creationId xmlns:a16="http://schemas.microsoft.com/office/drawing/2014/main" xmlns="" id="{00000000-0008-0000-0500-00000D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xdr:blipFill>
      <xdr:spPr>
        <a:xfrm>
          <a:off x="180975" y="18905669"/>
          <a:ext cx="12020550" cy="141261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167640</xdr:colOff>
      <xdr:row>8</xdr:row>
      <xdr:rowOff>9525</xdr:rowOff>
    </xdr:from>
    <xdr:to>
      <xdr:col>1</xdr:col>
      <xdr:colOff>194179</xdr:colOff>
      <xdr:row>11</xdr:row>
      <xdr:rowOff>487680</xdr:rowOff>
    </xdr:to>
    <xdr:cxnSp macro="">
      <xdr:nvCxnSpPr>
        <xdr:cNvPr id="2" name="Прямая соединительная линия 1">
          <a:extLst>
            <a:ext uri="{FF2B5EF4-FFF2-40B4-BE49-F238E27FC236}">
              <a16:creationId xmlns:a16="http://schemas.microsoft.com/office/drawing/2014/main" xmlns="" id="{00000000-0008-0000-0600-000002000000}"/>
            </a:ext>
          </a:extLst>
        </xdr:cNvPr>
        <xdr:cNvCxnSpPr/>
      </xdr:nvCxnSpPr>
      <xdr:spPr>
        <a:xfrm flipH="1">
          <a:off x="350520" y="3308985"/>
          <a:ext cx="26539" cy="2825115"/>
        </a:xfrm>
        <a:prstGeom prst="line">
          <a:avLst/>
        </a:prstGeom>
        <a:ln w="19050">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0</xdr:colOff>
      <xdr:row>34</xdr:row>
      <xdr:rowOff>85723</xdr:rowOff>
    </xdr:from>
    <xdr:to>
      <xdr:col>2</xdr:col>
      <xdr:colOff>3914775</xdr:colOff>
      <xdr:row>70</xdr:row>
      <xdr:rowOff>57150</xdr:rowOff>
    </xdr:to>
    <xdr:sp macro="" textlink="">
      <xdr:nvSpPr>
        <xdr:cNvPr id="3" name="TextBox 2">
          <a:extLst>
            <a:ext uri="{FF2B5EF4-FFF2-40B4-BE49-F238E27FC236}">
              <a16:creationId xmlns:a16="http://schemas.microsoft.com/office/drawing/2014/main" xmlns="" id="{00000000-0008-0000-0600-000003000000}"/>
            </a:ext>
          </a:extLst>
        </xdr:cNvPr>
        <xdr:cNvSpPr txBox="1"/>
      </xdr:nvSpPr>
      <xdr:spPr>
        <a:xfrm>
          <a:off x="142875" y="11553823"/>
          <a:ext cx="5829300" cy="682942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baseline="0">
              <a:solidFill>
                <a:schemeClr val="dk1"/>
              </a:solidFill>
              <a:effectLst/>
              <a:latin typeface="+mn-lt"/>
              <a:ea typeface="+mn-ea"/>
              <a:cs typeface="+mn-cs"/>
            </a:rPr>
            <a:t>Dallas Lock 8.0-</a:t>
          </a:r>
          <a:r>
            <a:rPr lang="ru-RU" sz="1100" b="1" i="0" baseline="0">
              <a:solidFill>
                <a:schemeClr val="dk1"/>
              </a:solidFill>
              <a:effectLst/>
              <a:latin typeface="+mn-lt"/>
              <a:ea typeface="+mn-ea"/>
              <a:cs typeface="+mn-cs"/>
            </a:rPr>
            <a:t>С</a:t>
          </a:r>
          <a:r>
            <a:rPr lang="en-US" sz="1100" b="1" i="0" baseline="0">
              <a:solidFill>
                <a:schemeClr val="dk1"/>
              </a:solidFill>
              <a:effectLst/>
              <a:latin typeface="+mn-lt"/>
              <a:ea typeface="+mn-ea"/>
              <a:cs typeface="+mn-cs"/>
            </a:rPr>
            <a:t> </a:t>
          </a:r>
          <a:endParaRPr lang="ru-RU" sz="1100" b="1" i="0" baseline="0">
            <a:solidFill>
              <a:schemeClr val="dk1"/>
            </a:solidFill>
            <a:effectLst/>
            <a:latin typeface="+mn-lt"/>
            <a:ea typeface="+mn-ea"/>
            <a:cs typeface="+mn-cs"/>
          </a:endParaRPr>
        </a:p>
        <a:p>
          <a:pPr algn="l"/>
          <a:r>
            <a:rPr lang="ru-RU" sz="1100" b="0" i="0" baseline="0">
              <a:solidFill>
                <a:schemeClr val="dk1"/>
              </a:solidFill>
              <a:effectLst/>
              <a:latin typeface="+mn-lt"/>
              <a:ea typeface="+mn-ea"/>
              <a:cs typeface="+mn-cs"/>
            </a:rPr>
            <a:t>Правило формирования цены на комплекты с </a:t>
          </a:r>
          <a:r>
            <a:rPr lang="en-US" sz="1100" b="0" i="0" baseline="0">
              <a:solidFill>
                <a:schemeClr val="dk1"/>
              </a:solidFill>
              <a:effectLst/>
              <a:latin typeface="+mn-lt"/>
              <a:ea typeface="+mn-ea"/>
              <a:cs typeface="+mn-cs"/>
            </a:rPr>
            <a:t>Dallas Lock 8.0-</a:t>
          </a:r>
          <a:r>
            <a:rPr lang="ru-RU" sz="1100" b="0" i="0" baseline="0">
              <a:solidFill>
                <a:schemeClr val="dk1"/>
              </a:solidFill>
              <a:effectLst/>
              <a:latin typeface="+mn-lt"/>
              <a:ea typeface="+mn-ea"/>
              <a:cs typeface="+mn-cs"/>
            </a:rPr>
            <a:t>С: </a:t>
          </a:r>
          <a:r>
            <a:rPr lang="en-US" sz="1100" b="0" i="0" baseline="0">
              <a:solidFill>
                <a:schemeClr val="dk1"/>
              </a:solidFill>
              <a:effectLst/>
              <a:latin typeface="+mn-lt"/>
              <a:ea typeface="+mn-ea"/>
              <a:cs typeface="+mn-cs"/>
            </a:rPr>
            <a:t>Dallas Lock-</a:t>
          </a:r>
          <a:r>
            <a:rPr lang="ru-RU" sz="1100" b="0" i="0" baseline="0">
              <a:solidFill>
                <a:schemeClr val="dk1"/>
              </a:solidFill>
              <a:effectLst/>
              <a:latin typeface="+mn-lt"/>
              <a:ea typeface="+mn-ea"/>
              <a:cs typeface="+mn-cs"/>
            </a:rPr>
            <a:t>С Базовый суммируется со стоимостью дополнительных модулей. Сертифицированный комплект для установки СЗИ </a:t>
          </a:r>
          <a:r>
            <a:rPr lang="en-US" sz="1100" b="0" i="0" baseline="0">
              <a:solidFill>
                <a:schemeClr val="dk1"/>
              </a:solidFill>
              <a:effectLst/>
              <a:latin typeface="+mn-lt"/>
              <a:ea typeface="+mn-ea"/>
              <a:cs typeface="+mn-cs"/>
            </a:rPr>
            <a:t>Dallas Lock</a:t>
          </a:r>
          <a:r>
            <a:rPr lang="ru-RU" sz="1100" b="0" i="0" baseline="0">
              <a:solidFill>
                <a:schemeClr val="dk1"/>
              </a:solidFill>
              <a:effectLst/>
              <a:latin typeface="+mn-lt"/>
              <a:ea typeface="+mn-ea"/>
              <a:cs typeface="+mn-cs"/>
            </a:rPr>
            <a:t> 8.0-С</a:t>
          </a:r>
          <a:r>
            <a:rPr lang="en-US" sz="1100" b="0" i="0" baseline="0">
              <a:solidFill>
                <a:schemeClr val="dk1"/>
              </a:solidFill>
              <a:effectLst/>
              <a:latin typeface="+mn-lt"/>
              <a:ea typeface="+mn-ea"/>
              <a:cs typeface="+mn-cs"/>
            </a:rPr>
            <a:t> </a:t>
          </a:r>
          <a:r>
            <a:rPr lang="ru-RU" sz="1100" b="0" i="0" baseline="0">
              <a:solidFill>
                <a:schemeClr val="dk1"/>
              </a:solidFill>
              <a:effectLst/>
              <a:latin typeface="+mn-lt"/>
              <a:ea typeface="+mn-ea"/>
              <a:cs typeface="+mn-cs"/>
            </a:rPr>
            <a:t>на необходимое количество рабочих мест приобретается отдельно. </a:t>
          </a:r>
        </a:p>
        <a:p>
          <a:pPr algn="l"/>
          <a:endParaRPr lang="ru-RU" sz="1100" b="0" i="0" baseline="0">
            <a:solidFill>
              <a:schemeClr val="dk1"/>
            </a:solidFill>
            <a:effectLst/>
            <a:latin typeface="+mn-lt"/>
            <a:ea typeface="+mn-ea"/>
            <a:cs typeface="+mn-cs"/>
          </a:endParaRPr>
        </a:p>
        <a:p>
          <a:r>
            <a:rPr lang="ru-RU" sz="1100" b="1" i="0" baseline="0">
              <a:solidFill>
                <a:schemeClr val="dk1"/>
              </a:solidFill>
              <a:effectLst/>
              <a:latin typeface="+mn-lt"/>
              <a:ea typeface="+mn-ea"/>
              <a:cs typeface="+mn-cs"/>
            </a:rPr>
            <a:t>Техническая поддержка</a:t>
          </a:r>
          <a:endParaRPr lang="ru-RU">
            <a:effectLst/>
          </a:endParaRPr>
        </a:p>
        <a:p>
          <a:pPr eaLnBrk="1" fontAlgn="auto" latinLnBrk="0" hangingPunct="1"/>
          <a:r>
            <a:rPr lang="ru-RU" sz="1100" b="1" i="0">
              <a:solidFill>
                <a:schemeClr val="dk1"/>
              </a:solidFill>
              <a:effectLst/>
              <a:latin typeface="+mn-lt"/>
              <a:ea typeface="+mn-ea"/>
              <a:cs typeface="+mn-cs"/>
            </a:rPr>
            <a:t>С 1 сентября 2026 года </a:t>
          </a:r>
          <a:r>
            <a:rPr lang="en-US" sz="1100" b="1" i="0" baseline="0">
              <a:solidFill>
                <a:schemeClr val="dk1"/>
              </a:solidFill>
              <a:effectLst/>
              <a:latin typeface="+mn-lt"/>
              <a:ea typeface="+mn-ea"/>
              <a:cs typeface="+mn-cs"/>
            </a:rPr>
            <a:t>Dallas Lock 8.0-</a:t>
          </a:r>
          <a:r>
            <a:rPr lang="ru-RU" sz="1100" b="1" i="0" baseline="0">
              <a:solidFill>
                <a:schemeClr val="dk1"/>
              </a:solidFill>
              <a:effectLst/>
              <a:latin typeface="+mn-lt"/>
              <a:ea typeface="+mn-ea"/>
              <a:cs typeface="+mn-cs"/>
            </a:rPr>
            <a:t>С</a:t>
          </a:r>
          <a:r>
            <a:rPr lang="en-US" sz="1100" b="1" i="0" baseline="0">
              <a:solidFill>
                <a:schemeClr val="dk1"/>
              </a:solidFill>
              <a:effectLst/>
              <a:latin typeface="+mn-lt"/>
              <a:ea typeface="+mn-ea"/>
              <a:cs typeface="+mn-cs"/>
            </a:rPr>
            <a:t> </a:t>
          </a:r>
          <a:r>
            <a:rPr lang="ru-RU" sz="1100" b="1" i="0">
              <a:solidFill>
                <a:schemeClr val="dk1"/>
              </a:solidFill>
              <a:effectLst/>
              <a:latin typeface="+mn-lt"/>
              <a:ea typeface="+mn-ea"/>
              <a:cs typeface="+mn-cs"/>
            </a:rPr>
            <a:t>продается только с </a:t>
          </a:r>
          <a:r>
            <a:rPr lang="ru-RU" sz="1100" b="1" i="0" baseline="0">
              <a:solidFill>
                <a:schemeClr val="dk1"/>
              </a:solidFill>
              <a:effectLst/>
              <a:latin typeface="+mn-lt"/>
              <a:ea typeface="+mn-ea"/>
              <a:cs typeface="+mn-cs"/>
            </a:rPr>
            <a:t>гарантийным сопровождением на 3 года</a:t>
          </a:r>
          <a:r>
            <a:rPr lang="ru-RU" sz="1100" b="0" i="0">
              <a:solidFill>
                <a:schemeClr val="dk1"/>
              </a:solidFill>
              <a:effectLst/>
              <a:latin typeface="+mn-lt"/>
              <a:ea typeface="+mn-ea"/>
              <a:cs typeface="+mn-cs"/>
            </a:rPr>
            <a:t>. </a:t>
          </a:r>
          <a:r>
            <a:rPr lang="ru-RU" sz="1100" b="0" i="0" baseline="0">
              <a:solidFill>
                <a:schemeClr val="dk1"/>
              </a:solidFill>
              <a:effectLst/>
              <a:latin typeface="+mn-lt"/>
              <a:ea typeface="+mn-ea"/>
              <a:cs typeface="+mn-cs"/>
            </a:rPr>
            <a:t>При первичном приобретении гарантийное сопровождение (основной пакет) в течение 3</a:t>
          </a:r>
          <a:r>
            <a:rPr lang="en-US" sz="1100" b="0" i="0" baseline="0">
              <a:solidFill>
                <a:schemeClr val="dk1"/>
              </a:solidFill>
              <a:effectLst/>
              <a:latin typeface="+mn-lt"/>
              <a:ea typeface="+mn-ea"/>
              <a:cs typeface="+mn-cs"/>
            </a:rPr>
            <a:t>-</a:t>
          </a:r>
          <a:r>
            <a:rPr lang="ru-RU" sz="1100" b="0" i="0" baseline="0">
              <a:solidFill>
                <a:schemeClr val="dk1"/>
              </a:solidFill>
              <a:effectLst/>
              <a:latin typeface="+mn-lt"/>
              <a:ea typeface="+mn-ea"/>
              <a:cs typeface="+mn-cs"/>
            </a:rPr>
            <a:t>х лет включено в стоимость</a:t>
          </a:r>
          <a:r>
            <a:rPr lang="en-US" sz="1100" b="0" i="0" baseline="0">
              <a:solidFill>
                <a:schemeClr val="dk1"/>
              </a:solidFill>
              <a:effectLst/>
              <a:latin typeface="+mn-lt"/>
              <a:ea typeface="+mn-ea"/>
              <a:cs typeface="+mn-cs"/>
            </a:rPr>
            <a:t>. </a:t>
          </a:r>
          <a:r>
            <a:rPr lang="ru-RU" sz="1100" b="0" i="0" baseline="0">
              <a:solidFill>
                <a:schemeClr val="dk1"/>
              </a:solidFill>
              <a:effectLst/>
              <a:latin typeface="+mn-lt"/>
              <a:ea typeface="+mn-ea"/>
              <a:cs typeface="+mn-cs"/>
            </a:rPr>
            <a:t>Лицензия по умолчанию включает в себя гарантийное сопровождение на 3 года. При первичном приобретении с техническим сопровождением расширенного пакета «24х7» окончания артикула </a:t>
          </a:r>
          <a:r>
            <a:rPr lang="en-US" sz="1100" b="1" i="0" baseline="0">
              <a:solidFill>
                <a:schemeClr val="dk1"/>
              </a:solidFill>
              <a:effectLst/>
              <a:latin typeface="+mn-lt"/>
              <a:ea typeface="+mn-ea"/>
              <a:cs typeface="+mn-cs"/>
            </a:rPr>
            <a:t>36M</a:t>
          </a:r>
          <a:r>
            <a:rPr lang="ru-RU" sz="1100" b="0" i="0" baseline="0">
              <a:solidFill>
                <a:schemeClr val="dk1"/>
              </a:solidFill>
              <a:effectLst/>
              <a:latin typeface="+mn-lt"/>
              <a:ea typeface="+mn-ea"/>
              <a:cs typeface="+mn-cs"/>
            </a:rPr>
            <a:t> заменяется на </a:t>
          </a:r>
          <a:r>
            <a:rPr lang="en-US" sz="1100" b="1" i="0" baseline="0">
              <a:solidFill>
                <a:schemeClr val="dk1"/>
              </a:solidFill>
              <a:effectLst/>
              <a:latin typeface="+mn-lt"/>
              <a:ea typeface="+mn-ea"/>
              <a:cs typeface="+mn-cs"/>
            </a:rPr>
            <a:t>36M247</a:t>
          </a:r>
          <a:r>
            <a:rPr lang="en-US" sz="1100" b="0" i="0" baseline="0">
              <a:solidFill>
                <a:schemeClr val="dk1"/>
              </a:solidFill>
              <a:effectLst/>
              <a:latin typeface="+mn-lt"/>
              <a:ea typeface="+mn-ea"/>
              <a:cs typeface="+mn-cs"/>
            </a:rPr>
            <a:t> </a:t>
          </a:r>
          <a:r>
            <a:rPr lang="ru-RU" sz="1100" b="0" i="0" baseline="0">
              <a:solidFill>
                <a:schemeClr val="dk1"/>
              </a:solidFill>
              <a:effectLst/>
              <a:latin typeface="+mn-lt"/>
              <a:ea typeface="+mn-ea"/>
              <a:cs typeface="+mn-cs"/>
            </a:rPr>
            <a:t>соответственно.</a:t>
          </a:r>
        </a:p>
        <a:p>
          <a:pPr algn="l"/>
          <a:endParaRPr lang="ru-RU" sz="1100" b="1" i="0" baseline="0">
            <a:solidFill>
              <a:schemeClr val="dk1"/>
            </a:solidFill>
            <a:effectLst/>
            <a:latin typeface="+mn-lt"/>
            <a:ea typeface="+mn-ea"/>
            <a:cs typeface="+mn-cs"/>
          </a:endParaRPr>
        </a:p>
        <a:p>
          <a:pPr algn="l" eaLnBrk="1" fontAlgn="auto" latinLnBrk="0" hangingPunct="1"/>
          <a:r>
            <a:rPr lang="en-US" sz="1100" b="1" i="0" baseline="0">
              <a:solidFill>
                <a:schemeClr val="dk1"/>
              </a:solidFill>
              <a:effectLst/>
              <a:latin typeface="+mn-lt"/>
              <a:ea typeface="+mn-ea"/>
              <a:cs typeface="+mn-cs"/>
            </a:rPr>
            <a:t>Dallas Lock 8.0</a:t>
          </a:r>
          <a:r>
            <a:rPr lang="ru-RU" sz="1100" b="1" i="0" baseline="0">
              <a:solidFill>
                <a:schemeClr val="dk1"/>
              </a:solidFill>
              <a:effectLst/>
              <a:latin typeface="+mn-lt"/>
              <a:ea typeface="+mn-ea"/>
              <a:cs typeface="+mn-cs"/>
            </a:rPr>
            <a:t>-С</a:t>
          </a:r>
          <a:r>
            <a:rPr lang="en-US" sz="1100" b="1" i="0" baseline="0">
              <a:solidFill>
                <a:schemeClr val="dk1"/>
              </a:solidFill>
              <a:effectLst/>
              <a:latin typeface="+mn-lt"/>
              <a:ea typeface="+mn-ea"/>
              <a:cs typeface="+mn-cs"/>
            </a:rPr>
            <a:t>. </a:t>
          </a:r>
          <a:r>
            <a:rPr lang="ru-RU" sz="1100" b="1" i="0" baseline="0">
              <a:solidFill>
                <a:schemeClr val="dk1"/>
              </a:solidFill>
              <a:effectLst/>
              <a:latin typeface="+mn-lt"/>
              <a:ea typeface="+mn-ea"/>
              <a:cs typeface="+mn-cs"/>
            </a:rPr>
            <a:t>Электронная дистрибуция</a:t>
          </a:r>
          <a:endParaRPr lang="ru-RU">
            <a:effectLst/>
          </a:endParaRPr>
        </a:p>
        <a:p>
          <a:pPr algn="l"/>
          <a:r>
            <a:rPr lang="ru-RU" sz="1100" b="0" i="0">
              <a:solidFill>
                <a:schemeClr val="dk1"/>
              </a:solidFill>
              <a:effectLst/>
              <a:latin typeface="+mn-lt"/>
              <a:ea typeface="+mn-ea"/>
              <a:cs typeface="+mn-cs"/>
            </a:rPr>
            <a:t>С 1 сентября 2025 года стартовала электронная дистрибуция</a:t>
          </a:r>
          <a:r>
            <a:rPr lang="ru-RU" sz="1100" b="0" i="0" baseline="0">
              <a:solidFill>
                <a:schemeClr val="dk1"/>
              </a:solidFill>
              <a:effectLst/>
              <a:latin typeface="+mn-lt"/>
              <a:ea typeface="+mn-ea"/>
              <a:cs typeface="+mn-cs"/>
            </a:rPr>
            <a:t> –</a:t>
          </a:r>
          <a:r>
            <a:rPr lang="ru-RU" sz="1100" b="0" i="0">
              <a:solidFill>
                <a:schemeClr val="dk1"/>
              </a:solidFill>
              <a:effectLst/>
              <a:latin typeface="+mn-lt"/>
              <a:ea typeface="+mn-ea"/>
              <a:cs typeface="+mn-cs"/>
            </a:rPr>
            <a:t> это возможность скачивать необходимые документы и дистрибутивы в личном</a:t>
          </a:r>
          <a:r>
            <a:rPr lang="ru-RU" sz="1100" b="0" i="0" baseline="0">
              <a:solidFill>
                <a:schemeClr val="dk1"/>
              </a:solidFill>
              <a:effectLst/>
              <a:latin typeface="+mn-lt"/>
              <a:ea typeface="+mn-ea"/>
              <a:cs typeface="+mn-cs"/>
            </a:rPr>
            <a:t> кабинете </a:t>
          </a:r>
          <a:r>
            <a:rPr lang="ru-RU" sz="1100" b="0" i="0">
              <a:solidFill>
                <a:schemeClr val="dk1"/>
              </a:solidFill>
              <a:effectLst/>
              <a:latin typeface="+mn-lt"/>
              <a:ea typeface="+mn-ea"/>
              <a:cs typeface="+mn-cs"/>
            </a:rPr>
            <a:t>пользователя на</a:t>
          </a:r>
          <a:r>
            <a:rPr lang="ru-RU" sz="1100" b="0" i="0" baseline="0">
              <a:solidFill>
                <a:schemeClr val="dk1"/>
              </a:solidFill>
              <a:effectLst/>
              <a:latin typeface="+mn-lt"/>
              <a:ea typeface="+mn-ea"/>
              <a:cs typeface="+mn-cs"/>
            </a:rPr>
            <a:t> </a:t>
          </a:r>
          <a:r>
            <a:rPr lang="ru-RU" sz="1100" b="0" i="0">
              <a:solidFill>
                <a:schemeClr val="dk1"/>
              </a:solidFill>
              <a:effectLst/>
              <a:latin typeface="+mn-lt"/>
              <a:ea typeface="+mn-ea"/>
              <a:cs typeface="+mn-cs"/>
            </a:rPr>
            <a:t>сайте </a:t>
          </a:r>
          <a:r>
            <a:rPr lang="en-US" sz="1100" b="0" i="0">
              <a:solidFill>
                <a:schemeClr val="dk1"/>
              </a:solidFill>
              <a:effectLst/>
              <a:latin typeface="+mn-lt"/>
              <a:ea typeface="+mn-ea"/>
              <a:cs typeface="+mn-cs"/>
            </a:rPr>
            <a:t>www.dallaslock.ru </a:t>
          </a:r>
          <a:r>
            <a:rPr lang="ru-RU" sz="1100" b="0" i="0">
              <a:solidFill>
                <a:schemeClr val="dk1"/>
              </a:solidFill>
              <a:effectLst/>
              <a:latin typeface="+mn-lt"/>
              <a:ea typeface="+mn-ea"/>
              <a:cs typeface="+mn-cs"/>
            </a:rPr>
            <a:t>или воспользоваться ссылками для скачивания в момент активации лицензий. Возможность приобретать физические дистрибутивы сохраняется.</a:t>
          </a:r>
          <a:endParaRPr lang="ru-RU">
            <a:effectLst/>
          </a:endParaRPr>
        </a:p>
        <a:p>
          <a:pPr algn="l"/>
          <a:endParaRPr lang="ru-RU" sz="1100" b="1" i="0" baseline="0">
            <a:solidFill>
              <a:schemeClr val="dk1"/>
            </a:solidFill>
            <a:effectLst/>
            <a:latin typeface="+mn-lt"/>
            <a:ea typeface="+mn-ea"/>
            <a:cs typeface="+mn-cs"/>
          </a:endParaRPr>
        </a:p>
        <a:p>
          <a:pPr algn="l"/>
          <a:r>
            <a:rPr lang="en-US" sz="1100" b="1" i="0" baseline="0">
              <a:solidFill>
                <a:schemeClr val="dk1"/>
              </a:solidFill>
              <a:effectLst/>
              <a:latin typeface="+mn-lt"/>
              <a:ea typeface="+mn-ea"/>
              <a:cs typeface="+mn-cs"/>
            </a:rPr>
            <a:t>Dallas Lock 8.0</a:t>
          </a:r>
          <a:r>
            <a:rPr lang="ru-RU" sz="1100" b="1" i="0" baseline="0">
              <a:solidFill>
                <a:schemeClr val="dk1"/>
              </a:solidFill>
              <a:effectLst/>
              <a:latin typeface="+mn-lt"/>
              <a:ea typeface="+mn-ea"/>
              <a:cs typeface="+mn-cs"/>
            </a:rPr>
            <a:t>-С</a:t>
          </a:r>
          <a:r>
            <a:rPr lang="en-US" sz="1100" b="1" i="0" baseline="0">
              <a:solidFill>
                <a:schemeClr val="dk1"/>
              </a:solidFill>
              <a:effectLst/>
              <a:latin typeface="+mn-lt"/>
              <a:ea typeface="+mn-ea"/>
              <a:cs typeface="+mn-cs"/>
            </a:rPr>
            <a:t>. </a:t>
          </a:r>
          <a:r>
            <a:rPr lang="ru-RU" sz="1100" b="1" i="0" baseline="0">
              <a:solidFill>
                <a:schemeClr val="dk1"/>
              </a:solidFill>
              <a:effectLst/>
              <a:latin typeface="+mn-lt"/>
              <a:ea typeface="+mn-ea"/>
              <a:cs typeface="+mn-cs"/>
            </a:rPr>
            <a:t>Сертифицированный комплект для установки</a:t>
          </a:r>
          <a:endParaRPr lang="ru-RU">
            <a:effectLst/>
          </a:endParaRPr>
        </a:p>
        <a:p>
          <a:pPr marL="0" marR="0" lvl="0" indent="0" algn="l" defTabSz="914400" eaLnBrk="1" fontAlgn="auto" latinLnBrk="0" hangingPunct="1">
            <a:lnSpc>
              <a:spcPct val="100000"/>
            </a:lnSpc>
            <a:spcBef>
              <a:spcPts val="0"/>
            </a:spcBef>
            <a:spcAft>
              <a:spcPts val="0"/>
            </a:spcAft>
            <a:buClrTx/>
            <a:buSzTx/>
            <a:buFontTx/>
            <a:buNone/>
            <a:tabLst/>
            <a:defRPr/>
          </a:pPr>
          <a:r>
            <a:rPr lang="ru-RU" sz="1100" b="0" i="0" baseline="0">
              <a:solidFill>
                <a:schemeClr val="dk1"/>
              </a:solidFill>
              <a:effectLst/>
              <a:latin typeface="+mn-lt"/>
              <a:ea typeface="+mn-ea"/>
              <a:cs typeface="+mn-cs"/>
            </a:rPr>
            <a:t>Компакт-диск с ПО </a:t>
          </a:r>
          <a:r>
            <a:rPr lang="en-US" sz="1100" b="0" i="0" baseline="0">
              <a:solidFill>
                <a:schemeClr val="dk1"/>
              </a:solidFill>
              <a:effectLst/>
              <a:latin typeface="+mn-lt"/>
              <a:ea typeface="+mn-ea"/>
              <a:cs typeface="+mn-cs"/>
            </a:rPr>
            <a:t>Dallas Lock 8.0</a:t>
          </a:r>
          <a:r>
            <a:rPr lang="ru-RU" sz="1100" b="0" i="0" baseline="0">
              <a:solidFill>
                <a:schemeClr val="dk1"/>
              </a:solidFill>
              <a:effectLst/>
              <a:latin typeface="+mn-lt"/>
              <a:ea typeface="+mn-ea"/>
              <a:cs typeface="+mn-cs"/>
            </a:rPr>
            <a:t>-С</a:t>
          </a:r>
          <a:r>
            <a:rPr lang="en-US" sz="1100" b="0" i="0" baseline="0">
              <a:solidFill>
                <a:schemeClr val="dk1"/>
              </a:solidFill>
              <a:effectLst/>
              <a:latin typeface="+mn-lt"/>
              <a:ea typeface="+mn-ea"/>
              <a:cs typeface="+mn-cs"/>
            </a:rPr>
            <a:t> (</a:t>
          </a:r>
          <a:r>
            <a:rPr lang="ru-RU" sz="1100" b="0" i="0" baseline="0">
              <a:solidFill>
                <a:schemeClr val="dk1"/>
              </a:solidFill>
              <a:effectLst/>
              <a:latin typeface="+mn-lt"/>
              <a:ea typeface="+mn-ea"/>
              <a:cs typeface="+mn-cs"/>
            </a:rPr>
            <a:t>соответствующей версии) и документацией в электронном виде; формуляр; копия сертификата ФСТЭК России; краткое руководство </a:t>
          </a:r>
          <a:r>
            <a:rPr lang="ru-RU" sz="1100" b="1" i="0" baseline="0">
              <a:solidFill>
                <a:schemeClr val="dk1"/>
              </a:solidFill>
              <a:effectLst/>
              <a:latin typeface="+mn-lt"/>
              <a:ea typeface="+mn-ea"/>
              <a:cs typeface="+mn-cs"/>
            </a:rPr>
            <a:t>(возможна электронная поставка).</a:t>
          </a:r>
          <a:endParaRPr lang="ru-RU">
            <a:effectLst/>
          </a:endParaRPr>
        </a:p>
        <a:p>
          <a:pPr algn="l"/>
          <a:endParaRPr lang="ru-RU" sz="1100" b="1" i="0" baseline="0">
            <a:solidFill>
              <a:schemeClr val="dk1"/>
            </a:solidFill>
            <a:effectLst/>
            <a:latin typeface="+mn-lt"/>
            <a:ea typeface="+mn-ea"/>
            <a:cs typeface="+mn-cs"/>
          </a:endParaRPr>
        </a:p>
        <a:p>
          <a:pPr algn="l"/>
          <a:r>
            <a:rPr lang="ru-RU" sz="1100" b="1" i="0" baseline="0">
              <a:solidFill>
                <a:schemeClr val="dk1"/>
              </a:solidFill>
              <a:effectLst/>
              <a:latin typeface="+mn-lt"/>
              <a:ea typeface="+mn-ea"/>
              <a:cs typeface="+mn-cs"/>
            </a:rPr>
            <a:t>Терминальное подключение для </a:t>
          </a:r>
          <a:r>
            <a:rPr lang="en-US" sz="1100" b="1" i="0" baseline="0">
              <a:solidFill>
                <a:schemeClr val="dk1"/>
              </a:solidFill>
              <a:effectLst/>
              <a:latin typeface="+mn-lt"/>
              <a:ea typeface="+mn-ea"/>
              <a:cs typeface="+mn-cs"/>
            </a:rPr>
            <a:t>Dallas Lock 8.0-C. </a:t>
          </a:r>
          <a:r>
            <a:rPr lang="ru-RU" sz="1100" b="1" i="0" baseline="0">
              <a:solidFill>
                <a:schemeClr val="dk1"/>
              </a:solidFill>
              <a:effectLst/>
              <a:latin typeface="+mn-lt"/>
              <a:ea typeface="+mn-ea"/>
              <a:cs typeface="+mn-cs"/>
            </a:rPr>
            <a:t>Право на использование</a:t>
          </a:r>
          <a:endParaRPr lang="ru-RU">
            <a:effectLst/>
          </a:endParaRPr>
        </a:p>
        <a:p>
          <a:pPr algn="l"/>
          <a:r>
            <a:rPr lang="ru-RU" sz="1100" b="0" i="0" baseline="0">
              <a:solidFill>
                <a:schemeClr val="dk1"/>
              </a:solidFill>
              <a:effectLst/>
              <a:latin typeface="+mn-lt"/>
              <a:ea typeface="+mn-ea"/>
              <a:cs typeface="+mn-cs"/>
            </a:rPr>
            <a:t>Комплект поставки: лицензионный </a:t>
          </a:r>
          <a:r>
            <a:rPr lang="en-US" sz="1100" b="0" i="0" baseline="0">
              <a:solidFill>
                <a:schemeClr val="dk1"/>
              </a:solidFill>
              <a:effectLst/>
              <a:latin typeface="+mn-lt"/>
              <a:ea typeface="+mn-ea"/>
              <a:cs typeface="+mn-cs"/>
            </a:rPr>
            <a:t>USB-</a:t>
          </a:r>
          <a:r>
            <a:rPr lang="ru-RU" sz="1100" b="0" i="0" baseline="0">
              <a:solidFill>
                <a:schemeClr val="dk1"/>
              </a:solidFill>
              <a:effectLst/>
              <a:latin typeface="+mn-lt"/>
              <a:ea typeface="+mn-ea"/>
              <a:cs typeface="+mn-cs"/>
            </a:rPr>
            <a:t>ключ с указанием максимального количества терминальных подключений.</a:t>
          </a:r>
          <a:endParaRPr lang="ru-RU">
            <a:effectLst/>
          </a:endParaRPr>
        </a:p>
        <a:p>
          <a:pPr algn="l"/>
          <a:endParaRPr lang="ru-RU" sz="1100" b="0" i="0" u="none" strike="noStrike" baseline="0">
            <a:solidFill>
              <a:schemeClr val="dk1"/>
            </a:solidFill>
            <a:latin typeface="Arial" panose="020B0604020202020204" pitchFamily="34" charset="0"/>
            <a:ea typeface="+mn-ea"/>
            <a:cs typeface="Arial" panose="020B0604020202020204" pitchFamily="34" charset="0"/>
          </a:endParaRPr>
        </a:p>
        <a:p>
          <a:r>
            <a:rPr lang="ru-RU" sz="1100" b="1" i="0" baseline="0">
              <a:solidFill>
                <a:schemeClr val="dk1"/>
              </a:solidFill>
              <a:effectLst/>
              <a:latin typeface="+mn-lt"/>
              <a:ea typeface="+mn-ea"/>
              <a:cs typeface="+mn-cs"/>
            </a:rPr>
            <a:t>Комментарии</a:t>
          </a:r>
          <a:endParaRPr lang="ru-RU">
            <a:effectLst/>
          </a:endParaRPr>
        </a:p>
        <a:p>
          <a:r>
            <a:rPr lang="ru-RU" sz="1100" b="0" i="0" baseline="0">
              <a:solidFill>
                <a:schemeClr val="dk1"/>
              </a:solidFill>
              <a:effectLst/>
              <a:latin typeface="+mn-lt"/>
              <a:ea typeface="+mn-ea"/>
              <a:cs typeface="+mn-cs"/>
            </a:rPr>
            <a:t>• Для пользователей СЗИ </a:t>
          </a:r>
          <a:r>
            <a:rPr lang="en-US" sz="1100" b="0" i="0" baseline="0">
              <a:solidFill>
                <a:schemeClr val="dk1"/>
              </a:solidFill>
              <a:effectLst/>
              <a:latin typeface="+mn-lt"/>
              <a:ea typeface="+mn-ea"/>
              <a:cs typeface="+mn-cs"/>
            </a:rPr>
            <a:t>Dallas Lock 8.0-</a:t>
          </a:r>
          <a:r>
            <a:rPr lang="ru-RU" sz="1100" b="0" i="0" baseline="0">
              <a:solidFill>
                <a:schemeClr val="dk1"/>
              </a:solidFill>
              <a:effectLst/>
              <a:latin typeface="+mn-lt"/>
              <a:ea typeface="+mn-ea"/>
              <a:cs typeface="+mn-cs"/>
            </a:rPr>
            <a:t>С с действующей технической поддержкой бесплатно продлевается техническая поддержка на 1 год с момента приобретения модуля «Межсетевой экран» (в том числе совместно с модулем «Система обнаружения и предотвращения вторжений»). Срок действия акции ограничен.</a:t>
          </a:r>
          <a:endParaRPr lang="ru-RU">
            <a:effectLst/>
          </a:endParaRPr>
        </a:p>
        <a:p>
          <a:r>
            <a:rPr lang="ru-RU" sz="1100" b="0" i="0" baseline="0">
              <a:solidFill>
                <a:schemeClr val="dk1"/>
              </a:solidFill>
              <a:effectLst/>
              <a:latin typeface="+mn-lt"/>
              <a:ea typeface="+mn-ea"/>
              <a:cs typeface="+mn-cs"/>
            </a:rPr>
            <a:t>• Для пользователей СЗИ </a:t>
          </a:r>
          <a:r>
            <a:rPr lang="en-US" sz="1100" b="0" i="0" baseline="0">
              <a:solidFill>
                <a:schemeClr val="dk1"/>
              </a:solidFill>
              <a:effectLst/>
              <a:latin typeface="+mn-lt"/>
              <a:ea typeface="+mn-ea"/>
              <a:cs typeface="+mn-cs"/>
            </a:rPr>
            <a:t>Dallas Lock 8.0-</a:t>
          </a:r>
          <a:r>
            <a:rPr lang="ru-RU" sz="1100" b="0" i="0" baseline="0">
              <a:solidFill>
                <a:schemeClr val="dk1"/>
              </a:solidFill>
              <a:effectLst/>
              <a:latin typeface="+mn-lt"/>
              <a:ea typeface="+mn-ea"/>
              <a:cs typeface="+mn-cs"/>
            </a:rPr>
            <a:t>С с прерванной технической поддержкой бесплатно возобновляется техническая поддержка СЗИ </a:t>
          </a:r>
          <a:r>
            <a:rPr lang="en-US" sz="1100" b="0" i="0" baseline="0">
              <a:solidFill>
                <a:schemeClr val="dk1"/>
              </a:solidFill>
              <a:effectLst/>
              <a:latin typeface="+mn-lt"/>
              <a:ea typeface="+mn-ea"/>
              <a:cs typeface="+mn-cs"/>
            </a:rPr>
            <a:t>Dallas Lock</a:t>
          </a:r>
          <a:r>
            <a:rPr lang="ru-RU" sz="1100" b="0" i="0" baseline="0">
              <a:solidFill>
                <a:schemeClr val="dk1"/>
              </a:solidFill>
              <a:effectLst/>
              <a:latin typeface="+mn-lt"/>
              <a:ea typeface="+mn-ea"/>
              <a:cs typeface="+mn-cs"/>
            </a:rPr>
            <a:t> 8.0-С с любым истекшим сроком действия при приобретении модуля «Межсетевой экран» (в том числе с модулем «Система обнаружения и предотвращения вторжений») и оплате 1 года технического сопровождения СЗИ </a:t>
          </a:r>
          <a:r>
            <a:rPr lang="en-US" sz="1100" b="0" i="0" baseline="0">
              <a:solidFill>
                <a:schemeClr val="dk1"/>
              </a:solidFill>
              <a:effectLst/>
              <a:latin typeface="+mn-lt"/>
              <a:ea typeface="+mn-ea"/>
              <a:cs typeface="+mn-cs"/>
            </a:rPr>
            <a:t>Dallas Lock 8.0-</a:t>
          </a:r>
          <a:r>
            <a:rPr lang="ru-RU" sz="1100" b="0" i="0" baseline="0">
              <a:solidFill>
                <a:schemeClr val="dk1"/>
              </a:solidFill>
              <a:effectLst/>
              <a:latin typeface="+mn-lt"/>
              <a:ea typeface="+mn-ea"/>
              <a:cs typeface="+mn-cs"/>
            </a:rPr>
            <a:t>С. Срок действия акции ограничен.</a:t>
          </a:r>
          <a:endParaRPr lang="ru-RU">
            <a:effectLst/>
          </a:endParaRPr>
        </a:p>
        <a:p>
          <a:pPr algn="l"/>
          <a:endParaRPr lang="ru-RU" sz="1100" b="0" i="0" u="none" strike="noStrike" baseline="0">
            <a:solidFill>
              <a:schemeClr val="dk1"/>
            </a:solidFill>
            <a:latin typeface="Arial" panose="020B0604020202020204" pitchFamily="34" charset="0"/>
            <a:ea typeface="+mn-ea"/>
            <a:cs typeface="Arial" panose="020B0604020202020204" pitchFamily="34" charset="0"/>
          </a:endParaRPr>
        </a:p>
      </xdr:txBody>
    </xdr:sp>
    <xdr:clientData/>
  </xdr:twoCellAnchor>
  <xdr:twoCellAnchor>
    <xdr:from>
      <xdr:col>2</xdr:col>
      <xdr:colOff>4081072</xdr:colOff>
      <xdr:row>34</xdr:row>
      <xdr:rowOff>60959</xdr:rowOff>
    </xdr:from>
    <xdr:to>
      <xdr:col>11</xdr:col>
      <xdr:colOff>476251</xdr:colOff>
      <xdr:row>72</xdr:row>
      <xdr:rowOff>28575</xdr:rowOff>
    </xdr:to>
    <xdr:sp macro="" textlink="">
      <xdr:nvSpPr>
        <xdr:cNvPr id="4" name="TextBox 3">
          <a:extLst>
            <a:ext uri="{FF2B5EF4-FFF2-40B4-BE49-F238E27FC236}">
              <a16:creationId xmlns:a16="http://schemas.microsoft.com/office/drawing/2014/main" xmlns="" id="{00000000-0008-0000-0600-000004000000}"/>
            </a:ext>
          </a:extLst>
        </xdr:cNvPr>
        <xdr:cNvSpPr txBox="1"/>
      </xdr:nvSpPr>
      <xdr:spPr>
        <a:xfrm>
          <a:off x="6138472" y="11529059"/>
          <a:ext cx="6120204" cy="720661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ru-RU" sz="1100" b="0" i="0" baseline="0">
              <a:solidFill>
                <a:schemeClr val="dk1"/>
              </a:solidFill>
              <a:effectLst/>
              <a:latin typeface="+mn-lt"/>
              <a:ea typeface="+mn-ea"/>
              <a:cs typeface="+mn-cs"/>
            </a:rPr>
            <a:t>Продление технического сопровождения оформляется в виде сертификата на код активации технической поддержки. </a:t>
          </a:r>
          <a:r>
            <a:rPr lang="ru-RU" sz="1100">
              <a:solidFill>
                <a:schemeClr val="dk1"/>
              </a:solidFill>
              <a:effectLst/>
              <a:latin typeface="+mn-lt"/>
              <a:ea typeface="+mn-ea"/>
              <a:cs typeface="+mn-cs"/>
            </a:rPr>
            <a:t>Сертификат передается по УПД или товарной накладной по форме ТОРГ-12 с оформлением счета-фактуры.</a:t>
          </a:r>
          <a:r>
            <a:rPr lang="ru-RU" sz="1100" baseline="0">
              <a:solidFill>
                <a:schemeClr val="dk1"/>
              </a:solidFill>
              <a:effectLst/>
              <a:latin typeface="+mn-lt"/>
              <a:ea typeface="+mn-ea"/>
              <a:cs typeface="+mn-cs"/>
            </a:rPr>
            <a:t> </a:t>
          </a:r>
          <a:r>
            <a:rPr lang="ru-RU" sz="1100" b="0" i="0" baseline="0">
              <a:solidFill>
                <a:schemeClr val="dk1"/>
              </a:solidFill>
              <a:effectLst/>
              <a:latin typeface="+mn-lt"/>
              <a:ea typeface="+mn-ea"/>
              <a:cs typeface="+mn-cs"/>
            </a:rPr>
            <a:t>Стоимость последующего технического сопровождения (основной пакет) составляет 20% (15% для лицензий с артикулом </a:t>
          </a:r>
          <a:r>
            <a:rPr lang="en-US" sz="1100" b="0" i="0" baseline="0">
              <a:solidFill>
                <a:schemeClr val="dk1"/>
              </a:solidFill>
              <a:effectLst/>
              <a:latin typeface="+mn-lt"/>
              <a:ea typeface="+mn-ea"/>
              <a:cs typeface="+mn-cs"/>
            </a:rPr>
            <a:t>*</a:t>
          </a:r>
          <a:r>
            <a:rPr lang="ru-RU" sz="1100" b="0" i="0" baseline="0">
              <a:solidFill>
                <a:schemeClr val="dk1"/>
              </a:solidFill>
              <a:effectLst/>
              <a:latin typeface="+mn-lt"/>
              <a:ea typeface="+mn-ea"/>
              <a:cs typeface="+mn-cs"/>
            </a:rPr>
            <a:t>.36</a:t>
          </a:r>
          <a:r>
            <a:rPr lang="en-US" sz="1100" b="0" i="0" baseline="0">
              <a:solidFill>
                <a:schemeClr val="dk1"/>
              </a:solidFill>
              <a:effectLst/>
              <a:latin typeface="+mn-lt"/>
              <a:ea typeface="+mn-ea"/>
              <a:cs typeface="+mn-cs"/>
            </a:rPr>
            <a:t>M</a:t>
          </a:r>
          <a:r>
            <a:rPr lang="ru-RU" sz="1100" b="0" i="0" baseline="0">
              <a:solidFill>
                <a:schemeClr val="dk1"/>
              </a:solidFill>
              <a:effectLst/>
              <a:latin typeface="+mn-lt"/>
              <a:ea typeface="+mn-ea"/>
              <a:cs typeface="+mn-cs"/>
            </a:rPr>
            <a:t>) от стоимости лицензий в год. При оплате технического сопровождения (основной пакет) вперед на 3 года действует скидка – стоимость продления составит 55% (40% для лицензий с артикулом </a:t>
          </a:r>
          <a:r>
            <a:rPr lang="en-US" sz="1100" b="0" i="0" baseline="0">
              <a:solidFill>
                <a:schemeClr val="dk1"/>
              </a:solidFill>
              <a:effectLst/>
              <a:latin typeface="+mn-lt"/>
              <a:ea typeface="+mn-ea"/>
              <a:cs typeface="+mn-cs"/>
            </a:rPr>
            <a:t>*</a:t>
          </a:r>
          <a:r>
            <a:rPr lang="ru-RU" sz="1100" b="0" i="0" baseline="0">
              <a:solidFill>
                <a:schemeClr val="dk1"/>
              </a:solidFill>
              <a:effectLst/>
              <a:latin typeface="+mn-lt"/>
              <a:ea typeface="+mn-ea"/>
              <a:cs typeface="+mn-cs"/>
            </a:rPr>
            <a:t>.36</a:t>
          </a:r>
          <a:r>
            <a:rPr lang="en-US" sz="1100" b="0" i="0" baseline="0">
              <a:solidFill>
                <a:schemeClr val="dk1"/>
              </a:solidFill>
              <a:effectLst/>
              <a:latin typeface="+mn-lt"/>
              <a:ea typeface="+mn-ea"/>
              <a:cs typeface="+mn-cs"/>
            </a:rPr>
            <a:t>M</a:t>
          </a:r>
          <a:r>
            <a:rPr lang="ru-RU" sz="1100" b="0" i="0" baseline="0">
              <a:solidFill>
                <a:schemeClr val="dk1"/>
              </a:solidFill>
              <a:effectLst/>
              <a:latin typeface="+mn-lt"/>
              <a:ea typeface="+mn-ea"/>
              <a:cs typeface="+mn-cs"/>
            </a:rPr>
            <a:t>) от розничной стоимости лицензий. Стоимость последующего технического сопровождения (расширенный пакет «24х7») составляет 30% (22% для лицензий с артикулом </a:t>
          </a:r>
          <a:r>
            <a:rPr lang="en-US" sz="1100" b="0" i="0" baseline="0">
              <a:solidFill>
                <a:schemeClr val="dk1"/>
              </a:solidFill>
              <a:effectLst/>
              <a:latin typeface="+mn-lt"/>
              <a:ea typeface="+mn-ea"/>
              <a:cs typeface="+mn-cs"/>
            </a:rPr>
            <a:t>*</a:t>
          </a:r>
          <a:r>
            <a:rPr lang="ru-RU" sz="1100" b="0" i="0" baseline="0">
              <a:solidFill>
                <a:schemeClr val="dk1"/>
              </a:solidFill>
              <a:effectLst/>
              <a:latin typeface="+mn-lt"/>
              <a:ea typeface="+mn-ea"/>
              <a:cs typeface="+mn-cs"/>
            </a:rPr>
            <a:t>.36</a:t>
          </a:r>
          <a:r>
            <a:rPr lang="en-US" sz="1100" b="0" i="0" baseline="0">
              <a:solidFill>
                <a:schemeClr val="dk1"/>
              </a:solidFill>
              <a:effectLst/>
              <a:latin typeface="+mn-lt"/>
              <a:ea typeface="+mn-ea"/>
              <a:cs typeface="+mn-cs"/>
            </a:rPr>
            <a:t>M</a:t>
          </a:r>
          <a:r>
            <a:rPr lang="ru-RU" sz="1100" b="0" i="0" baseline="0">
              <a:solidFill>
                <a:schemeClr val="dk1"/>
              </a:solidFill>
              <a:effectLst/>
              <a:latin typeface="+mn-lt"/>
              <a:ea typeface="+mn-ea"/>
              <a:cs typeface="+mn-cs"/>
            </a:rPr>
            <a:t>) от стоимости лицензий в год. При оплате технического сопровождения (расширенный пакет «24х7») вперед на 3 года действует скидка – стоимость продления составит 80% (60% для лицензий с артикулом </a:t>
          </a:r>
          <a:r>
            <a:rPr lang="en-US" sz="1100" b="0" i="0" baseline="0">
              <a:solidFill>
                <a:schemeClr val="dk1"/>
              </a:solidFill>
              <a:effectLst/>
              <a:latin typeface="+mn-lt"/>
              <a:ea typeface="+mn-ea"/>
              <a:cs typeface="+mn-cs"/>
            </a:rPr>
            <a:t>*</a:t>
          </a:r>
          <a:r>
            <a:rPr lang="ru-RU" sz="1100" b="0" i="0" baseline="0">
              <a:solidFill>
                <a:schemeClr val="dk1"/>
              </a:solidFill>
              <a:effectLst/>
              <a:latin typeface="+mn-lt"/>
              <a:ea typeface="+mn-ea"/>
              <a:cs typeface="+mn-cs"/>
            </a:rPr>
            <a:t>.36</a:t>
          </a:r>
          <a:r>
            <a:rPr lang="en-US" sz="1100" b="0" i="0" baseline="0">
              <a:solidFill>
                <a:schemeClr val="dk1"/>
              </a:solidFill>
              <a:effectLst/>
              <a:latin typeface="+mn-lt"/>
              <a:ea typeface="+mn-ea"/>
              <a:cs typeface="+mn-cs"/>
            </a:rPr>
            <a:t>M</a:t>
          </a:r>
          <a:r>
            <a:rPr lang="ru-RU" sz="1100" b="0" i="0" baseline="0">
              <a:solidFill>
                <a:schemeClr val="dk1"/>
              </a:solidFill>
              <a:effectLst/>
              <a:latin typeface="+mn-lt"/>
              <a:ea typeface="+mn-ea"/>
              <a:cs typeface="+mn-cs"/>
            </a:rPr>
            <a:t>) от стоимости лицензий. При продлении технического сопровождения оплачивается также весь период с момента окончания гарантийного или технического сопровождения</a:t>
          </a:r>
          <a:r>
            <a:rPr lang="en-US" sz="1100" b="0" i="0" baseline="0">
              <a:solidFill>
                <a:schemeClr val="dk1"/>
              </a:solidFill>
              <a:effectLst/>
              <a:latin typeface="+mn-lt"/>
              <a:ea typeface="+mn-ea"/>
              <a:cs typeface="+mn-cs"/>
            </a:rPr>
            <a:t> </a:t>
          </a:r>
          <a:r>
            <a:rPr lang="ru-RU" sz="1100" b="0" i="0">
              <a:solidFill>
                <a:schemeClr val="dk1"/>
              </a:solidFill>
              <a:effectLst/>
              <a:latin typeface="+mn-lt"/>
              <a:ea typeface="+mn-ea"/>
              <a:cs typeface="+mn-cs"/>
            </a:rPr>
            <a:t>на все лицензии</a:t>
          </a:r>
          <a:r>
            <a:rPr lang="en-US" sz="1100" b="0" i="0">
              <a:solidFill>
                <a:schemeClr val="dk1"/>
              </a:solidFill>
              <a:effectLst/>
              <a:latin typeface="+mn-lt"/>
              <a:ea typeface="+mn-ea"/>
              <a:cs typeface="+mn-cs"/>
            </a:rPr>
            <a:t>.</a:t>
          </a:r>
          <a:r>
            <a:rPr lang="ru-RU" sz="1100" b="0" i="0" baseline="0">
              <a:solidFill>
                <a:schemeClr val="dk1"/>
              </a:solidFill>
              <a:effectLst/>
              <a:latin typeface="+mn-lt"/>
              <a:ea typeface="+mn-ea"/>
              <a:cs typeface="+mn-cs"/>
            </a:rPr>
            <a:t> Стоимость технического сопровождения на устаревших инфраструктурах (при использовании операционных систем с завершившейся поддержкой от вендора, например, таких, как </a:t>
          </a:r>
          <a:r>
            <a:rPr lang="en-US" sz="1100" b="0" i="0" baseline="0">
              <a:solidFill>
                <a:schemeClr val="dk1"/>
              </a:solidFill>
              <a:effectLst/>
              <a:latin typeface="+mn-lt"/>
              <a:ea typeface="+mn-ea"/>
              <a:cs typeface="+mn-cs"/>
            </a:rPr>
            <a:t>Windows XP/2003 Server</a:t>
          </a:r>
          <a:r>
            <a:rPr lang="ru-RU" sz="1100" b="0" i="0" baseline="0">
              <a:solidFill>
                <a:schemeClr val="dk1"/>
              </a:solidFill>
              <a:effectLst/>
              <a:latin typeface="+mn-lt"/>
              <a:ea typeface="+mn-ea"/>
              <a:cs typeface="+mn-cs"/>
            </a:rPr>
            <a:t>/</a:t>
          </a:r>
          <a:r>
            <a:rPr lang="en-US" sz="1100" b="0" i="0" baseline="0">
              <a:solidFill>
                <a:schemeClr val="dk1"/>
              </a:solidFill>
              <a:effectLst/>
              <a:latin typeface="+mn-lt"/>
              <a:ea typeface="+mn-ea"/>
              <a:cs typeface="+mn-cs"/>
            </a:rPr>
            <a:t>Windows 7 </a:t>
          </a:r>
          <a:r>
            <a:rPr lang="ru-RU" sz="1100" b="0" i="0" baseline="0">
              <a:solidFill>
                <a:schemeClr val="dk1"/>
              </a:solidFill>
              <a:effectLst/>
              <a:latin typeface="+mn-lt"/>
              <a:ea typeface="+mn-ea"/>
              <a:cs typeface="+mn-cs"/>
            </a:rPr>
            <a:t>и т. д.</a:t>
          </a:r>
          <a:r>
            <a:rPr lang="en-US" sz="1100" b="0" i="0" baseline="0">
              <a:solidFill>
                <a:schemeClr val="dk1"/>
              </a:solidFill>
              <a:effectLst/>
              <a:latin typeface="+mn-lt"/>
              <a:ea typeface="+mn-ea"/>
              <a:cs typeface="+mn-cs"/>
            </a:rPr>
            <a:t>) </a:t>
          </a:r>
          <a:r>
            <a:rPr lang="ru-RU" sz="1100" b="0" i="0" baseline="0">
              <a:solidFill>
                <a:schemeClr val="dk1"/>
              </a:solidFill>
              <a:effectLst/>
              <a:latin typeface="+mn-lt"/>
              <a:ea typeface="+mn-ea"/>
              <a:cs typeface="+mn-cs"/>
            </a:rPr>
            <a:t>удваивается.</a:t>
          </a:r>
        </a:p>
        <a:p>
          <a:pPr algn="l"/>
          <a:endParaRPr lang="ru-RU">
            <a:effectLst/>
          </a:endParaRPr>
        </a:p>
        <a:p>
          <a:pPr algn="l"/>
          <a:r>
            <a:rPr lang="ru-RU" sz="1100" b="0" i="0" baseline="0">
              <a:solidFill>
                <a:schemeClr val="dk1"/>
              </a:solidFill>
              <a:effectLst/>
              <a:latin typeface="+mn-lt"/>
              <a:ea typeface="+mn-ea"/>
              <a:cs typeface="+mn-cs"/>
            </a:rPr>
            <a:t>Пользователи программного обеспечения </a:t>
          </a:r>
          <a:r>
            <a:rPr lang="en-US" sz="1100" b="0" i="0" baseline="0">
              <a:solidFill>
                <a:schemeClr val="dk1"/>
              </a:solidFill>
              <a:effectLst/>
              <a:latin typeface="+mn-lt"/>
              <a:ea typeface="+mn-ea"/>
              <a:cs typeface="+mn-cs"/>
            </a:rPr>
            <a:t>Dallas Lock </a:t>
          </a:r>
          <a:r>
            <a:rPr lang="ru-RU" sz="1100" b="0" i="0" baseline="0">
              <a:solidFill>
                <a:schemeClr val="dk1"/>
              </a:solidFill>
              <a:effectLst/>
              <a:latin typeface="+mn-lt"/>
              <a:ea typeface="+mn-ea"/>
              <a:cs typeface="+mn-cs"/>
            </a:rPr>
            <a:t>в рамках гарантийного или непрерывно действующего технического сопровождения имеют право бесплатного обновления лицензий до следующей версии этого решения (с тем же объемом функциональности). Оплачивается только стоимость новых сертифицированных комплектов для установки на 3 года (лицензии с артикулом </a:t>
          </a:r>
          <a:r>
            <a:rPr lang="en-US" sz="1100" b="0" i="0" baseline="0">
              <a:solidFill>
                <a:schemeClr val="dk1"/>
              </a:solidFill>
              <a:effectLst/>
              <a:latin typeface="+mn-lt"/>
              <a:ea typeface="+mn-ea"/>
              <a:cs typeface="+mn-cs"/>
            </a:rPr>
            <a:t>*</a:t>
          </a:r>
          <a:r>
            <a:rPr lang="ru-RU" sz="1100" b="0" i="0" baseline="0">
              <a:solidFill>
                <a:schemeClr val="dk1"/>
              </a:solidFill>
              <a:effectLst/>
              <a:latin typeface="+mn-lt"/>
              <a:ea typeface="+mn-ea"/>
              <a:cs typeface="+mn-cs"/>
            </a:rPr>
            <a:t>.36</a:t>
          </a:r>
          <a:r>
            <a:rPr lang="en-US" sz="1100" b="0" i="0" baseline="0">
              <a:solidFill>
                <a:schemeClr val="dk1"/>
              </a:solidFill>
              <a:effectLst/>
              <a:latin typeface="+mn-lt"/>
              <a:ea typeface="+mn-ea"/>
              <a:cs typeface="+mn-cs"/>
            </a:rPr>
            <a:t>M</a:t>
          </a:r>
          <a:r>
            <a:rPr lang="ru-RU" sz="1100" b="0" i="0" baseline="0">
              <a:solidFill>
                <a:schemeClr val="dk1"/>
              </a:solidFill>
              <a:effectLst/>
              <a:latin typeface="+mn-lt"/>
              <a:ea typeface="+mn-ea"/>
              <a:cs typeface="+mn-cs"/>
            </a:rPr>
            <a:t>) технической поддержки.</a:t>
          </a:r>
        </a:p>
        <a:p>
          <a:pPr algn="l"/>
          <a:endParaRPr lang="ru-RU" sz="1100" b="0" i="0" baseline="0">
            <a:solidFill>
              <a:schemeClr val="dk1"/>
            </a:solidFill>
            <a:effectLst/>
            <a:latin typeface="+mn-lt"/>
            <a:ea typeface="+mn-ea"/>
            <a:cs typeface="+mn-cs"/>
          </a:endParaRPr>
        </a:p>
        <a:p>
          <a:pPr algn="l"/>
          <a:endParaRPr lang="ru-RU" sz="1100" b="0" i="0" baseline="0">
            <a:solidFill>
              <a:schemeClr val="dk1"/>
            </a:solidFill>
            <a:effectLst/>
            <a:latin typeface="+mn-lt"/>
            <a:ea typeface="+mn-ea"/>
            <a:cs typeface="+mn-cs"/>
          </a:endParaRPr>
        </a:p>
        <a:p>
          <a:pPr algn="l"/>
          <a:endParaRPr lang="ru-RU" sz="1100" b="0" i="0" baseline="0">
            <a:solidFill>
              <a:schemeClr val="dk1"/>
            </a:solidFill>
            <a:effectLst/>
            <a:latin typeface="+mn-lt"/>
            <a:ea typeface="+mn-ea"/>
            <a:cs typeface="+mn-cs"/>
          </a:endParaRPr>
        </a:p>
        <a:p>
          <a:pPr algn="l"/>
          <a:endParaRPr lang="ru-RU" sz="1100" b="0" i="0" baseline="0">
            <a:solidFill>
              <a:schemeClr val="dk1"/>
            </a:solidFill>
            <a:effectLst/>
            <a:latin typeface="+mn-lt"/>
            <a:ea typeface="+mn-ea"/>
            <a:cs typeface="+mn-cs"/>
          </a:endParaRPr>
        </a:p>
        <a:p>
          <a:pPr algn="l"/>
          <a:endParaRPr lang="ru-RU" sz="1100" b="0" i="0" baseline="0">
            <a:solidFill>
              <a:schemeClr val="dk1"/>
            </a:solidFill>
            <a:effectLst/>
            <a:latin typeface="+mn-lt"/>
            <a:ea typeface="+mn-ea"/>
            <a:cs typeface="+mn-cs"/>
          </a:endParaRPr>
        </a:p>
        <a:p>
          <a:pPr algn="l"/>
          <a:endParaRPr lang="ru-RU" sz="1100" b="0" i="0" baseline="0">
            <a:solidFill>
              <a:schemeClr val="dk1"/>
            </a:solidFill>
            <a:effectLst/>
            <a:latin typeface="+mn-lt"/>
            <a:ea typeface="+mn-ea"/>
            <a:cs typeface="+mn-cs"/>
          </a:endParaRPr>
        </a:p>
        <a:p>
          <a:pPr algn="l"/>
          <a:endParaRPr lang="ru-RU" sz="1100" b="0" i="0" baseline="0">
            <a:solidFill>
              <a:schemeClr val="dk1"/>
            </a:solidFill>
            <a:effectLst/>
            <a:latin typeface="+mn-lt"/>
            <a:ea typeface="+mn-ea"/>
            <a:cs typeface="+mn-cs"/>
          </a:endParaRPr>
        </a:p>
        <a:p>
          <a:pPr algn="l"/>
          <a:endParaRPr lang="ru-RU" sz="1100" b="0" i="0" baseline="0">
            <a:solidFill>
              <a:schemeClr val="dk1"/>
            </a:solidFill>
            <a:effectLst/>
            <a:latin typeface="+mn-lt"/>
            <a:ea typeface="+mn-ea"/>
            <a:cs typeface="+mn-cs"/>
          </a:endParaRPr>
        </a:p>
        <a:p>
          <a:pPr algn="l"/>
          <a:endParaRPr lang="ru-RU" sz="1100" b="0" i="0" baseline="0">
            <a:solidFill>
              <a:schemeClr val="dk1"/>
            </a:solidFill>
            <a:effectLst/>
            <a:latin typeface="+mn-lt"/>
            <a:ea typeface="+mn-ea"/>
            <a:cs typeface="+mn-cs"/>
          </a:endParaRPr>
        </a:p>
        <a:p>
          <a:r>
            <a:rPr lang="ru-RU" sz="1100" b="0" i="0" baseline="0">
              <a:solidFill>
                <a:schemeClr val="dk1"/>
              </a:solidFill>
              <a:effectLst/>
              <a:latin typeface="+mn-lt"/>
              <a:ea typeface="+mn-ea"/>
              <a:cs typeface="+mn-cs"/>
            </a:rPr>
            <a:t>• СЗИ </a:t>
          </a:r>
          <a:r>
            <a:rPr lang="en-US" sz="1100" b="0" i="0" baseline="0">
              <a:solidFill>
                <a:schemeClr val="dk1"/>
              </a:solidFill>
              <a:effectLst/>
              <a:latin typeface="+mn-lt"/>
              <a:ea typeface="+mn-ea"/>
              <a:cs typeface="+mn-cs"/>
            </a:rPr>
            <a:t>Dallas Lock 8.0-</a:t>
          </a:r>
          <a:r>
            <a:rPr lang="ru-RU" sz="1100" b="0" i="0" baseline="0">
              <a:solidFill>
                <a:schemeClr val="dk1"/>
              </a:solidFill>
              <a:effectLst/>
              <a:latin typeface="+mn-lt"/>
              <a:ea typeface="+mn-ea"/>
              <a:cs typeface="+mn-cs"/>
            </a:rPr>
            <a:t>С совместима с различными моделями электронных ключей и смарт-карт </a:t>
          </a:r>
          <a:r>
            <a:rPr lang="en-US" sz="1100" b="0" i="0" baseline="0">
              <a:solidFill>
                <a:schemeClr val="dk1"/>
              </a:solidFill>
              <a:effectLst/>
              <a:latin typeface="+mn-lt"/>
              <a:ea typeface="+mn-ea"/>
              <a:cs typeface="+mn-cs"/>
            </a:rPr>
            <a:t>JaCarta </a:t>
          </a:r>
          <a:r>
            <a:rPr lang="ru-RU" sz="1100" b="0" i="0" baseline="0">
              <a:solidFill>
                <a:schemeClr val="dk1"/>
              </a:solidFill>
              <a:effectLst/>
              <a:latin typeface="+mn-lt"/>
              <a:ea typeface="+mn-ea"/>
              <a:cs typeface="+mn-cs"/>
            </a:rPr>
            <a:t>и </a:t>
          </a:r>
          <a:r>
            <a:rPr lang="en-US" sz="1100" b="0" i="0" baseline="0">
              <a:solidFill>
                <a:schemeClr val="dk1"/>
              </a:solidFill>
              <a:effectLst/>
              <a:latin typeface="+mn-lt"/>
              <a:ea typeface="+mn-ea"/>
              <a:cs typeface="+mn-cs"/>
            </a:rPr>
            <a:t>eToken, </a:t>
          </a:r>
          <a:r>
            <a:rPr lang="ru-RU" sz="1100" b="0" i="0" baseline="0">
              <a:solidFill>
                <a:schemeClr val="dk1"/>
              </a:solidFill>
              <a:effectLst/>
              <a:latin typeface="+mn-lt"/>
              <a:ea typeface="+mn-ea"/>
              <a:cs typeface="+mn-cs"/>
            </a:rPr>
            <a:t>Рутокен, </a:t>
          </a:r>
          <a:r>
            <a:rPr lang="en-US" sz="1100" b="0" i="0" baseline="0">
              <a:solidFill>
                <a:schemeClr val="dk1"/>
              </a:solidFill>
              <a:effectLst/>
              <a:latin typeface="+mn-lt"/>
              <a:ea typeface="+mn-ea"/>
              <a:cs typeface="+mn-cs"/>
            </a:rPr>
            <a:t>eSmart, </a:t>
          </a:r>
          <a:r>
            <a:rPr lang="ru-RU" sz="1100" b="0" i="0" baseline="0">
              <a:solidFill>
                <a:schemeClr val="dk1"/>
              </a:solidFill>
              <a:effectLst/>
              <a:latin typeface="+mn-lt"/>
              <a:ea typeface="+mn-ea"/>
              <a:cs typeface="+mn-cs"/>
            </a:rPr>
            <a:t>электронными ключами </a:t>
          </a:r>
          <a:r>
            <a:rPr lang="en-US" sz="1100" b="0" i="0" baseline="0">
              <a:solidFill>
                <a:schemeClr val="dk1"/>
              </a:solidFill>
              <a:effectLst/>
              <a:latin typeface="+mn-lt"/>
              <a:ea typeface="+mn-ea"/>
              <a:cs typeface="+mn-cs"/>
            </a:rPr>
            <a:t>Touch Memory (iButton), </a:t>
          </a:r>
          <a:r>
            <a:rPr lang="ru-RU" sz="1100" b="0" i="0" baseline="0">
              <a:solidFill>
                <a:schemeClr val="dk1"/>
              </a:solidFill>
              <a:effectLst/>
              <a:latin typeface="+mn-lt"/>
              <a:ea typeface="+mn-ea"/>
              <a:cs typeface="+mn-cs"/>
            </a:rPr>
            <a:t>картами </a:t>
          </a:r>
          <a:r>
            <a:rPr lang="en-US" sz="1100" b="0" i="0" baseline="0">
              <a:solidFill>
                <a:schemeClr val="dk1"/>
              </a:solidFill>
              <a:effectLst/>
              <a:latin typeface="+mn-lt"/>
              <a:ea typeface="+mn-ea"/>
              <a:cs typeface="+mn-cs"/>
            </a:rPr>
            <a:t>HID Proximity, </a:t>
          </a:r>
          <a:r>
            <a:rPr lang="ru-RU" sz="1100" b="0" i="0" baseline="0">
              <a:solidFill>
                <a:schemeClr val="dk1"/>
              </a:solidFill>
              <a:effectLst/>
              <a:latin typeface="+mn-lt"/>
              <a:ea typeface="+mn-ea"/>
              <a:cs typeface="+mn-cs"/>
            </a:rPr>
            <a:t>а также с программными решениями различных производителей.</a:t>
          </a:r>
          <a:endParaRPr lang="ru-RU">
            <a:effectLst/>
          </a:endParaRPr>
        </a:p>
        <a:p>
          <a:r>
            <a:rPr lang="ru-RU" sz="1100" b="0" i="0" baseline="0">
              <a:solidFill>
                <a:schemeClr val="dk1"/>
              </a:solidFill>
              <a:effectLst/>
              <a:latin typeface="+mn-lt"/>
              <a:ea typeface="+mn-ea"/>
              <a:cs typeface="+mn-cs"/>
            </a:rPr>
            <a:t>• Сертифицированная</a:t>
          </a:r>
          <a:r>
            <a:rPr lang="en-US" sz="1100" b="0" i="0" baseline="0">
              <a:solidFill>
                <a:schemeClr val="dk1"/>
              </a:solidFill>
              <a:effectLst/>
              <a:latin typeface="+mn-lt"/>
              <a:ea typeface="+mn-ea"/>
              <a:cs typeface="+mn-cs"/>
            </a:rPr>
            <a:t>****</a:t>
          </a:r>
          <a:r>
            <a:rPr lang="ru-RU" sz="1100" b="0" i="0" baseline="0">
              <a:solidFill>
                <a:schemeClr val="dk1"/>
              </a:solidFill>
              <a:effectLst/>
              <a:latin typeface="+mn-lt"/>
              <a:ea typeface="+mn-ea"/>
              <a:cs typeface="+mn-cs"/>
            </a:rPr>
            <a:t> функциональность модуля «СКН уровня отчуждения (переноса) информации» для </a:t>
          </a:r>
          <a:r>
            <a:rPr lang="en-US" sz="1100" b="0" i="0" baseline="0">
              <a:solidFill>
                <a:schemeClr val="dk1"/>
              </a:solidFill>
              <a:effectLst/>
              <a:latin typeface="+mn-lt"/>
              <a:ea typeface="+mn-ea"/>
              <a:cs typeface="+mn-cs"/>
            </a:rPr>
            <a:t>Dallas Lock 8.0-</a:t>
          </a:r>
          <a:r>
            <a:rPr lang="ru-RU" sz="1100" b="0" i="0" baseline="0">
              <a:solidFill>
                <a:schemeClr val="dk1"/>
              </a:solidFill>
              <a:effectLst/>
              <a:latin typeface="+mn-lt"/>
              <a:ea typeface="+mn-ea"/>
              <a:cs typeface="+mn-cs"/>
            </a:rPr>
            <a:t>С доступна только совместно с аппаратным идентификатором Рутокен ЭЦП 2.0 </a:t>
          </a:r>
          <a:r>
            <a:rPr lang="en-US" sz="1100" b="0" i="0" baseline="0">
              <a:solidFill>
                <a:schemeClr val="dk1"/>
              </a:solidFill>
              <a:effectLst/>
              <a:latin typeface="+mn-lt"/>
              <a:ea typeface="+mn-ea"/>
              <a:cs typeface="+mn-cs"/>
            </a:rPr>
            <a:t>Flash (</a:t>
          </a:r>
          <a:r>
            <a:rPr lang="ru-RU" sz="1100" b="0" i="0" baseline="0">
              <a:solidFill>
                <a:schemeClr val="dk1"/>
              </a:solidFill>
              <a:effectLst/>
              <a:latin typeface="+mn-lt"/>
              <a:ea typeface="+mn-ea"/>
              <a:cs typeface="+mn-cs"/>
            </a:rPr>
            <a:t>приобретается отдельно</a:t>
          </a:r>
          <a:r>
            <a:rPr lang="en-US" sz="1100" b="0" i="0" baseline="0">
              <a:solidFill>
                <a:schemeClr val="dk1"/>
              </a:solidFill>
              <a:effectLst/>
              <a:latin typeface="+mn-lt"/>
              <a:ea typeface="+mn-ea"/>
              <a:cs typeface="+mn-cs"/>
            </a:rPr>
            <a:t>)</a:t>
          </a:r>
          <a:r>
            <a:rPr lang="ru-RU" sz="1100" b="0" i="0" baseline="0">
              <a:solidFill>
                <a:schemeClr val="dk1"/>
              </a:solidFill>
              <a:effectLst/>
              <a:latin typeface="+mn-lt"/>
              <a:ea typeface="+mn-ea"/>
              <a:cs typeface="+mn-cs"/>
            </a:rPr>
            <a:t>.</a:t>
          </a:r>
          <a:endParaRPr lang="ru-RU">
            <a:effectLst/>
          </a:endParaRPr>
        </a:p>
        <a:p>
          <a:pPr algn="l"/>
          <a:endParaRPr lang="ru-RU" sz="1100" b="0" i="0" baseline="0">
            <a:solidFill>
              <a:schemeClr val="dk1"/>
            </a:solidFill>
            <a:effectLst/>
            <a:latin typeface="+mn-lt"/>
            <a:ea typeface="+mn-ea"/>
            <a:cs typeface="+mn-cs"/>
          </a:endParaRPr>
        </a:p>
        <a:p>
          <a:pPr algn="l"/>
          <a:endParaRPr lang="ru-RU">
            <a:effectLst/>
          </a:endParaRPr>
        </a:p>
      </xdr:txBody>
    </xdr:sp>
    <xdr:clientData/>
  </xdr:twoCellAnchor>
  <xdr:twoCellAnchor>
    <xdr:from>
      <xdr:col>1</xdr:col>
      <xdr:colOff>24764</xdr:colOff>
      <xdr:row>89</xdr:row>
      <xdr:rowOff>76498</xdr:rowOff>
    </xdr:from>
    <xdr:to>
      <xdr:col>12</xdr:col>
      <xdr:colOff>95250</xdr:colOff>
      <xdr:row>96</xdr:row>
      <xdr:rowOff>10102</xdr:rowOff>
    </xdr:to>
    <xdr:grpSp>
      <xdr:nvGrpSpPr>
        <xdr:cNvPr id="5" name="Группа 4">
          <a:extLst>
            <a:ext uri="{FF2B5EF4-FFF2-40B4-BE49-F238E27FC236}">
              <a16:creationId xmlns:a16="http://schemas.microsoft.com/office/drawing/2014/main" xmlns="" id="{00000000-0008-0000-0600-000005000000}"/>
            </a:ext>
          </a:extLst>
        </xdr:cNvPr>
        <xdr:cNvGrpSpPr/>
      </xdr:nvGrpSpPr>
      <xdr:grpSpPr>
        <a:xfrm>
          <a:off x="167639" y="22022098"/>
          <a:ext cx="12414886" cy="1267104"/>
          <a:chOff x="59262" y="16013806"/>
          <a:chExt cx="12261763" cy="1076221"/>
        </a:xfrm>
      </xdr:grpSpPr>
      <xdr:sp macro="" textlink="">
        <xdr:nvSpPr>
          <xdr:cNvPr id="6" name="TextBox 5">
            <a:extLst>
              <a:ext uri="{FF2B5EF4-FFF2-40B4-BE49-F238E27FC236}">
                <a16:creationId xmlns:a16="http://schemas.microsoft.com/office/drawing/2014/main" xmlns="" id="{00000000-0008-0000-0600-000006000000}"/>
              </a:ext>
            </a:extLst>
          </xdr:cNvPr>
          <xdr:cNvSpPr txBox="1"/>
        </xdr:nvSpPr>
        <xdr:spPr>
          <a:xfrm>
            <a:off x="59262" y="16061327"/>
            <a:ext cx="12261763" cy="1028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baseline="0">
                <a:solidFill>
                  <a:schemeClr val="dk1"/>
                </a:solidFill>
                <a:effectLst/>
                <a:latin typeface="+mn-lt"/>
                <a:ea typeface="+mn-ea"/>
                <a:cs typeface="+mn-cs"/>
              </a:rPr>
              <a:t>* «x» – </a:t>
            </a:r>
            <a:r>
              <a:rPr lang="ru-RU" sz="1100" b="0" i="0" baseline="0">
                <a:solidFill>
                  <a:schemeClr val="dk1"/>
                </a:solidFill>
                <a:effectLst/>
                <a:latin typeface="+mn-lt"/>
                <a:ea typeface="+mn-ea"/>
                <a:cs typeface="+mn-cs"/>
              </a:rPr>
              <a:t>диапазон приобретаемых лицензий по количеству рабочих станций, серверов; «</a:t>
            </a:r>
            <a:r>
              <a:rPr lang="en-US" sz="1100" b="0" i="0" baseline="0">
                <a:solidFill>
                  <a:schemeClr val="dk1"/>
                </a:solidFill>
                <a:effectLst/>
                <a:latin typeface="+mn-lt"/>
                <a:ea typeface="+mn-ea"/>
                <a:cs typeface="+mn-cs"/>
              </a:rPr>
              <a:t>y» – </a:t>
            </a:r>
            <a:r>
              <a:rPr lang="ru-RU" sz="1100" b="0" i="0" baseline="0">
                <a:solidFill>
                  <a:schemeClr val="dk1"/>
                </a:solidFill>
                <a:effectLst/>
                <a:latin typeface="+mn-lt"/>
                <a:ea typeface="+mn-ea"/>
                <a:cs typeface="+mn-cs"/>
              </a:rPr>
              <a:t>тип системы сертификации: </a:t>
            </a:r>
            <a:r>
              <a:rPr lang="en-US" sz="1100" b="0" i="0" baseline="0">
                <a:solidFill>
                  <a:schemeClr val="dk1"/>
                </a:solidFill>
                <a:effectLst/>
                <a:latin typeface="+mn-lt"/>
                <a:ea typeface="+mn-ea"/>
                <a:cs typeface="+mn-cs"/>
              </a:rPr>
              <a:t>FSTEC (</a:t>
            </a:r>
            <a:r>
              <a:rPr lang="ru-RU" sz="1100" b="0" i="0" baseline="0">
                <a:solidFill>
                  <a:schemeClr val="dk1"/>
                </a:solidFill>
                <a:effectLst/>
                <a:latin typeface="+mn-lt"/>
                <a:ea typeface="+mn-ea"/>
                <a:cs typeface="+mn-cs"/>
              </a:rPr>
              <a:t>ФСТЭК России), </a:t>
            </a:r>
            <a:r>
              <a:rPr lang="en-US" sz="1100" b="0" i="0" baseline="0">
                <a:solidFill>
                  <a:schemeClr val="dk1"/>
                </a:solidFill>
                <a:effectLst/>
                <a:latin typeface="+mn-lt"/>
                <a:ea typeface="+mn-ea"/>
                <a:cs typeface="+mn-cs"/>
              </a:rPr>
              <a:t>MO (</a:t>
            </a:r>
            <a:r>
              <a:rPr lang="ru-RU" sz="1100" b="0" i="0" baseline="0">
                <a:solidFill>
                  <a:schemeClr val="dk1"/>
                </a:solidFill>
                <a:effectLst/>
                <a:latin typeface="+mn-lt"/>
                <a:ea typeface="+mn-ea"/>
                <a:cs typeface="+mn-cs"/>
              </a:rPr>
              <a:t>Минобороны России); «</a:t>
            </a:r>
            <a:r>
              <a:rPr lang="en-US" sz="1100" b="0" i="0" baseline="0">
                <a:solidFill>
                  <a:schemeClr val="dk1"/>
                </a:solidFill>
                <a:effectLst/>
                <a:latin typeface="+mn-lt"/>
                <a:ea typeface="+mn-ea"/>
                <a:cs typeface="+mn-cs"/>
              </a:rPr>
              <a:t>z» – </a:t>
            </a:r>
            <a:r>
              <a:rPr lang="ru-RU" sz="1100" b="0" i="0" baseline="0">
                <a:solidFill>
                  <a:schemeClr val="dk1"/>
                </a:solidFill>
                <a:effectLst/>
                <a:latin typeface="+mn-lt"/>
                <a:ea typeface="+mn-ea"/>
                <a:cs typeface="+mn-cs"/>
              </a:rPr>
              <a:t>срок оказания гарантийного сопровождения: 36</a:t>
            </a:r>
            <a:r>
              <a:rPr lang="en-US" sz="1100" b="0" i="0" baseline="0">
                <a:solidFill>
                  <a:schemeClr val="dk1"/>
                </a:solidFill>
                <a:effectLst/>
                <a:latin typeface="+mn-lt"/>
                <a:ea typeface="+mn-ea"/>
                <a:cs typeface="+mn-cs"/>
              </a:rPr>
              <a:t>M </a:t>
            </a:r>
            <a:r>
              <a:rPr lang="ru-RU" sz="1100" b="0" i="0" baseline="0">
                <a:solidFill>
                  <a:schemeClr val="dk1"/>
                </a:solidFill>
                <a:effectLst/>
                <a:latin typeface="+mn-lt"/>
                <a:ea typeface="+mn-ea"/>
                <a:cs typeface="+mn-cs"/>
              </a:rPr>
              <a:t>–</a:t>
            </a:r>
            <a:r>
              <a:rPr lang="en-US" sz="1100" b="0" i="0" baseline="0">
                <a:solidFill>
                  <a:schemeClr val="dk1"/>
                </a:solidFill>
                <a:effectLst/>
                <a:latin typeface="+mn-lt"/>
                <a:ea typeface="+mn-ea"/>
                <a:cs typeface="+mn-cs"/>
              </a:rPr>
              <a:t> </a:t>
            </a:r>
            <a:r>
              <a:rPr lang="ru-RU" sz="1100" b="0" i="0" baseline="0">
                <a:solidFill>
                  <a:schemeClr val="dk1"/>
                </a:solidFill>
                <a:effectLst/>
                <a:latin typeface="+mn-lt"/>
                <a:ea typeface="+mn-ea"/>
                <a:cs typeface="+mn-cs"/>
              </a:rPr>
              <a:t>36 месяцев.</a:t>
            </a:r>
          </a:p>
          <a:p>
            <a:r>
              <a:rPr lang="ru-RU" sz="1100" b="0" i="0" baseline="0">
                <a:solidFill>
                  <a:schemeClr val="dk1"/>
                </a:solidFill>
                <a:effectLst/>
                <a:latin typeface="+mn-lt"/>
                <a:ea typeface="+mn-ea"/>
                <a:cs typeface="+mn-cs"/>
              </a:rPr>
              <a:t>** На основании статьи № 149 п. 2 пп. 26 НК РФ стоимость передаваемых неисключительных прав на используемое программное обеспечение не облагается НДС.</a:t>
            </a:r>
          </a:p>
          <a:p>
            <a:r>
              <a:rPr lang="ru-RU" sz="1100" b="0" i="0" baseline="0">
                <a:solidFill>
                  <a:schemeClr val="dk1"/>
                </a:solidFill>
                <a:effectLst/>
                <a:latin typeface="+mn-lt"/>
                <a:ea typeface="+mn-ea"/>
                <a:cs typeface="+mn-cs"/>
              </a:rPr>
              <a:t>*** </a:t>
            </a:r>
            <a:r>
              <a:rPr lang="ru-RU" sz="1100" b="0" i="0">
                <a:solidFill>
                  <a:schemeClr val="dk1"/>
                </a:solidFill>
                <a:effectLst/>
                <a:latin typeface="+mn-lt"/>
                <a:ea typeface="+mn-ea"/>
                <a:cs typeface="+mn-cs"/>
              </a:rPr>
              <a:t>Модуль СОВ (система обнаружения вторжений уровня хоста) расширен дополнительным функционалом</a:t>
            </a:r>
            <a:r>
              <a:rPr lang="ru-RU" sz="1100" b="1" i="0">
                <a:solidFill>
                  <a:schemeClr val="dk1"/>
                </a:solidFill>
                <a:effectLst/>
                <a:latin typeface="+mn-lt"/>
                <a:ea typeface="+mn-ea"/>
                <a:cs typeface="+mn-cs"/>
              </a:rPr>
              <a:t> </a:t>
            </a:r>
            <a:r>
              <a:rPr lang="ru-RU" sz="1100" b="0" i="0">
                <a:solidFill>
                  <a:schemeClr val="dk1"/>
                </a:solidFill>
                <a:effectLst/>
                <a:latin typeface="+mn-lt"/>
                <a:ea typeface="+mn-ea"/>
                <a:cs typeface="+mn-cs"/>
              </a:rPr>
              <a:t>Система обнаружения и реагирования (СОР)</a:t>
            </a:r>
            <a:endParaRPr lang="ru-RU">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0" i="0" baseline="0">
                <a:solidFill>
                  <a:schemeClr val="dk1"/>
                </a:solidFill>
                <a:effectLst/>
                <a:latin typeface="+mn-lt"/>
                <a:ea typeface="+mn-ea"/>
                <a:cs typeface="+mn-cs"/>
              </a:rPr>
              <a:t>**** </a:t>
            </a:r>
            <a:r>
              <a:rPr lang="ru-RU" sz="1100" b="0" i="0" baseline="0">
                <a:solidFill>
                  <a:schemeClr val="dk1"/>
                </a:solidFill>
                <a:effectLst/>
                <a:latin typeface="+mn-lt"/>
                <a:ea typeface="+mn-ea"/>
                <a:cs typeface="+mn-cs"/>
              </a:rPr>
              <a:t>Поддержка функциональности реализована. Доступно после окончания процедуры инспекционного контроля сертифицированного изделия.</a:t>
            </a:r>
          </a:p>
          <a:p>
            <a:pPr marL="0" marR="0" lvl="0" indent="0" defTabSz="914400" eaLnBrk="1" fontAlgn="auto" latinLnBrk="0" hangingPunct="1">
              <a:lnSpc>
                <a:spcPct val="100000"/>
              </a:lnSpc>
              <a:spcBef>
                <a:spcPts val="0"/>
              </a:spcBef>
              <a:spcAft>
                <a:spcPts val="0"/>
              </a:spcAft>
              <a:buClrTx/>
              <a:buSzTx/>
              <a:buFontTx/>
              <a:buNone/>
              <a:tabLst/>
              <a:defRPr/>
            </a:pPr>
            <a:r>
              <a:rPr lang="ru-RU" sz="1100" b="0" i="0" baseline="0">
                <a:solidFill>
                  <a:schemeClr val="dk1"/>
                </a:solidFill>
                <a:effectLst/>
                <a:latin typeface="+mn-lt"/>
                <a:ea typeface="+mn-ea"/>
                <a:cs typeface="+mn-cs"/>
              </a:rPr>
              <a:t>***** В стоимость входит НДС 2</a:t>
            </a:r>
            <a:r>
              <a:rPr lang="en-US" sz="1100" b="0" i="0" baseline="0">
                <a:solidFill>
                  <a:schemeClr val="dk1"/>
                </a:solidFill>
                <a:effectLst/>
                <a:latin typeface="+mn-lt"/>
                <a:ea typeface="+mn-ea"/>
                <a:cs typeface="+mn-cs"/>
              </a:rPr>
              <a:t>2</a:t>
            </a:r>
            <a:r>
              <a:rPr lang="ru-RU" sz="1100" b="0" i="0" baseline="0">
                <a:solidFill>
                  <a:schemeClr val="dk1"/>
                </a:solidFill>
                <a:effectLst/>
                <a:latin typeface="+mn-lt"/>
                <a:ea typeface="+mn-ea"/>
                <a:cs typeface="+mn-cs"/>
              </a:rPr>
              <a:t>%. </a:t>
            </a:r>
          </a:p>
        </xdr:txBody>
      </xdr:sp>
      <xdr:cxnSp macro="">
        <xdr:nvCxnSpPr>
          <xdr:cNvPr id="7" name="Прямая соединительная линия 6">
            <a:extLst>
              <a:ext uri="{FF2B5EF4-FFF2-40B4-BE49-F238E27FC236}">
                <a16:creationId xmlns:a16="http://schemas.microsoft.com/office/drawing/2014/main" xmlns="" id="{00000000-0008-0000-0600-000007000000}"/>
              </a:ext>
            </a:extLst>
          </xdr:cNvPr>
          <xdr:cNvCxnSpPr/>
        </xdr:nvCxnSpPr>
        <xdr:spPr>
          <a:xfrm>
            <a:off x="81764" y="16013806"/>
            <a:ext cx="12188742" cy="0"/>
          </a:xfrm>
          <a:prstGeom prst="line">
            <a:avLst/>
          </a:prstGeom>
        </xdr:spPr>
        <xdr:style>
          <a:lnRef idx="1">
            <a:schemeClr val="dk1"/>
          </a:lnRef>
          <a:fillRef idx="0">
            <a:schemeClr val="dk1"/>
          </a:fillRef>
          <a:effectRef idx="0">
            <a:schemeClr val="dk1"/>
          </a:effectRef>
          <a:fontRef idx="minor">
            <a:schemeClr val="tx1"/>
          </a:fontRef>
        </xdr:style>
      </xdr:cxnSp>
    </xdr:grpSp>
    <xdr:clientData/>
  </xdr:twoCellAnchor>
  <xdr:twoCellAnchor editAs="oneCell">
    <xdr:from>
      <xdr:col>1</xdr:col>
      <xdr:colOff>9525</xdr:colOff>
      <xdr:row>81</xdr:row>
      <xdr:rowOff>145082</xdr:rowOff>
    </xdr:from>
    <xdr:to>
      <xdr:col>11</xdr:col>
      <xdr:colOff>669043</xdr:colOff>
      <xdr:row>84</xdr:row>
      <xdr:rowOff>61572</xdr:rowOff>
    </xdr:to>
    <xdr:pic>
      <xdr:nvPicPr>
        <xdr:cNvPr id="8" name="Рисунок 7">
          <a:extLst>
            <a:ext uri="{FF2B5EF4-FFF2-40B4-BE49-F238E27FC236}">
              <a16:creationId xmlns:a16="http://schemas.microsoft.com/office/drawing/2014/main" xmlns="" id="{00000000-0008-0000-0600-000008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2400" y="20566682"/>
          <a:ext cx="12299068" cy="48799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xdr:col>
          <xdr:colOff>85725</xdr:colOff>
          <xdr:row>8</xdr:row>
          <xdr:rowOff>47625</xdr:rowOff>
        </xdr:from>
        <xdr:to>
          <xdr:col>1</xdr:col>
          <xdr:colOff>276225</xdr:colOff>
          <xdr:row>8</xdr:row>
          <xdr:rowOff>428625</xdr:rowOff>
        </xdr:to>
        <xdr:sp macro="" textlink="">
          <xdr:nvSpPr>
            <xdr:cNvPr id="11265" name="Check Box 1" hidden="1">
              <a:extLst>
                <a:ext uri="{63B3BB69-23CF-44E3-9099-C40C66FF867C}">
                  <a14:compatExt spid="_x0000_s11265"/>
                </a:ext>
                <a:ext uri="{FF2B5EF4-FFF2-40B4-BE49-F238E27FC236}">
                  <a16:creationId xmlns:a16="http://schemas.microsoft.com/office/drawing/2014/main" xmlns="" id="{00000000-0008-0000-06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9</xdr:row>
          <xdr:rowOff>209550</xdr:rowOff>
        </xdr:from>
        <xdr:to>
          <xdr:col>1</xdr:col>
          <xdr:colOff>276225</xdr:colOff>
          <xdr:row>9</xdr:row>
          <xdr:rowOff>590550</xdr:rowOff>
        </xdr:to>
        <xdr:sp macro="" textlink="">
          <xdr:nvSpPr>
            <xdr:cNvPr id="11266" name="Check Box 2" hidden="1">
              <a:extLst>
                <a:ext uri="{63B3BB69-23CF-44E3-9099-C40C66FF867C}">
                  <a14:compatExt spid="_x0000_s11266"/>
                </a:ext>
                <a:ext uri="{FF2B5EF4-FFF2-40B4-BE49-F238E27FC236}">
                  <a16:creationId xmlns:a16="http://schemas.microsoft.com/office/drawing/2014/main" xmlns="" id="{00000000-0008-0000-06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10</xdr:row>
          <xdr:rowOff>66675</xdr:rowOff>
        </xdr:from>
        <xdr:to>
          <xdr:col>1</xdr:col>
          <xdr:colOff>276225</xdr:colOff>
          <xdr:row>10</xdr:row>
          <xdr:rowOff>447675</xdr:rowOff>
        </xdr:to>
        <xdr:sp macro="" textlink="">
          <xdr:nvSpPr>
            <xdr:cNvPr id="11267" name="Check Box 3" hidden="1">
              <a:extLst>
                <a:ext uri="{63B3BB69-23CF-44E3-9099-C40C66FF867C}">
                  <a14:compatExt spid="_x0000_s11267"/>
                </a:ext>
                <a:ext uri="{FF2B5EF4-FFF2-40B4-BE49-F238E27FC236}">
                  <a16:creationId xmlns:a16="http://schemas.microsoft.com/office/drawing/2014/main" xmlns="" id="{00000000-0008-0000-06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11</xdr:row>
          <xdr:rowOff>66675</xdr:rowOff>
        </xdr:from>
        <xdr:to>
          <xdr:col>1</xdr:col>
          <xdr:colOff>276225</xdr:colOff>
          <xdr:row>11</xdr:row>
          <xdr:rowOff>447675</xdr:rowOff>
        </xdr:to>
        <xdr:sp macro="" textlink="">
          <xdr:nvSpPr>
            <xdr:cNvPr id="11268" name="Check Box 4" hidden="1">
              <a:extLst>
                <a:ext uri="{63B3BB69-23CF-44E3-9099-C40C66FF867C}">
                  <a14:compatExt spid="_x0000_s11268"/>
                </a:ext>
                <a:ext uri="{FF2B5EF4-FFF2-40B4-BE49-F238E27FC236}">
                  <a16:creationId xmlns:a16="http://schemas.microsoft.com/office/drawing/2014/main" xmlns="" id="{00000000-0008-0000-06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4</xdr:col>
      <xdr:colOff>527461</xdr:colOff>
      <xdr:row>2</xdr:row>
      <xdr:rowOff>77545</xdr:rowOff>
    </xdr:from>
    <xdr:to>
      <xdr:col>5</xdr:col>
      <xdr:colOff>5195</xdr:colOff>
      <xdr:row>2</xdr:row>
      <xdr:rowOff>263304</xdr:rowOff>
    </xdr:to>
    <xdr:pic>
      <xdr:nvPicPr>
        <xdr:cNvPr id="16" name="Рисунок 15">
          <a:extLst>
            <a:ext uri="{FF2B5EF4-FFF2-40B4-BE49-F238E27FC236}">
              <a16:creationId xmlns:a16="http://schemas.microsoft.com/office/drawing/2014/main" xmlns="" id="{00000000-0008-0000-0600-000010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7347361" y="1342465"/>
          <a:ext cx="185759" cy="185759"/>
        </a:xfrm>
        <a:prstGeom prst="rect">
          <a:avLst/>
        </a:prstGeom>
      </xdr:spPr>
    </xdr:pic>
    <xdr:clientData/>
  </xdr:twoCellAnchor>
  <xdr:twoCellAnchor>
    <xdr:from>
      <xdr:col>0</xdr:col>
      <xdr:colOff>0</xdr:colOff>
      <xdr:row>1</xdr:row>
      <xdr:rowOff>1059180</xdr:rowOff>
    </xdr:from>
    <xdr:to>
      <xdr:col>12</xdr:col>
      <xdr:colOff>66675</xdr:colOff>
      <xdr:row>3</xdr:row>
      <xdr:rowOff>5715</xdr:rowOff>
    </xdr:to>
    <xdr:sp macro="" textlink="">
      <xdr:nvSpPr>
        <xdr:cNvPr id="17" name="Прямоугольник 16">
          <a:hlinkClick xmlns:r="http://schemas.openxmlformats.org/officeDocument/2006/relationships" r:id="rId3"/>
          <a:extLst>
            <a:ext uri="{FF2B5EF4-FFF2-40B4-BE49-F238E27FC236}">
              <a16:creationId xmlns:a16="http://schemas.microsoft.com/office/drawing/2014/main" xmlns="" id="{00000000-0008-0000-0600-000011000000}"/>
            </a:ext>
          </a:extLst>
        </xdr:cNvPr>
        <xdr:cNvSpPr/>
      </xdr:nvSpPr>
      <xdr:spPr>
        <a:xfrm>
          <a:off x="0" y="1242060"/>
          <a:ext cx="12769215" cy="34099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editAs="oneCell">
    <xdr:from>
      <xdr:col>0</xdr:col>
      <xdr:colOff>0</xdr:colOff>
      <xdr:row>0</xdr:row>
      <xdr:rowOff>1</xdr:rowOff>
    </xdr:from>
    <xdr:to>
      <xdr:col>13</xdr:col>
      <xdr:colOff>0</xdr:colOff>
      <xdr:row>1</xdr:row>
      <xdr:rowOff>1044966</xdr:rowOff>
    </xdr:to>
    <xdr:pic>
      <xdr:nvPicPr>
        <xdr:cNvPr id="18" name="Рисунок 17">
          <a:hlinkClick xmlns:r="http://schemas.openxmlformats.org/officeDocument/2006/relationships" r:id="rId4"/>
          <a:extLst>
            <a:ext uri="{FF2B5EF4-FFF2-40B4-BE49-F238E27FC236}">
              <a16:creationId xmlns:a16="http://schemas.microsoft.com/office/drawing/2014/main" xmlns="" id="{00000000-0008-0000-0600-000012000000}"/>
            </a:ext>
          </a:extLst>
        </xdr:cNvPr>
        <xdr:cNvPicPr>
          <a:picLocks noChangeAspect="1"/>
        </xdr:cNvPicPr>
      </xdr:nvPicPr>
      <xdr:blipFill>
        <a:blip xmlns:r="http://schemas.openxmlformats.org/officeDocument/2006/relationships" r:embed="rId5"/>
        <a:stretch>
          <a:fillRect/>
        </a:stretch>
      </xdr:blipFill>
      <xdr:spPr>
        <a:xfrm>
          <a:off x="0" y="1"/>
          <a:ext cx="12668250" cy="123546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10</xdr:col>
          <xdr:colOff>533400</xdr:colOff>
          <xdr:row>5</xdr:row>
          <xdr:rowOff>95250</xdr:rowOff>
        </xdr:from>
        <xdr:to>
          <xdr:col>11</xdr:col>
          <xdr:colOff>76200</xdr:colOff>
          <xdr:row>7</xdr:row>
          <xdr:rowOff>9525</xdr:rowOff>
        </xdr:to>
        <xdr:sp macro="" textlink="">
          <xdr:nvSpPr>
            <xdr:cNvPr id="11271" name="Check Box 7" hidden="1">
              <a:extLst>
                <a:ext uri="{63B3BB69-23CF-44E3-9099-C40C66FF867C}">
                  <a14:compatExt spid="_x0000_s11271"/>
                </a:ext>
                <a:ext uri="{FF2B5EF4-FFF2-40B4-BE49-F238E27FC236}">
                  <a16:creationId xmlns:a16="http://schemas.microsoft.com/office/drawing/2014/main" xmlns="" id="{00000000-0008-0000-06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28575</xdr:colOff>
      <xdr:row>78</xdr:row>
      <xdr:rowOff>93131</xdr:rowOff>
    </xdr:from>
    <xdr:to>
      <xdr:col>11</xdr:col>
      <xdr:colOff>687705</xdr:colOff>
      <xdr:row>81</xdr:row>
      <xdr:rowOff>61491</xdr:rowOff>
    </xdr:to>
    <xdr:pic>
      <xdr:nvPicPr>
        <xdr:cNvPr id="11" name="Рисунок 10">
          <a:extLst>
            <a:ext uri="{FF2B5EF4-FFF2-40B4-BE49-F238E27FC236}">
              <a16:creationId xmlns:a16="http://schemas.microsoft.com/office/drawing/2014/main" xmlns="" id="{00000000-0008-0000-0600-00000B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71450" y="19943231"/>
          <a:ext cx="12298680" cy="539860"/>
        </a:xfrm>
        <a:prstGeom prst="rect">
          <a:avLst/>
        </a:prstGeom>
      </xdr:spPr>
    </xdr:pic>
    <xdr:clientData/>
  </xdr:twoCellAnchor>
  <xdr:twoCellAnchor>
    <xdr:from>
      <xdr:col>0</xdr:col>
      <xdr:colOff>74084</xdr:colOff>
      <xdr:row>28</xdr:row>
      <xdr:rowOff>2118</xdr:rowOff>
    </xdr:from>
    <xdr:to>
      <xdr:col>3</xdr:col>
      <xdr:colOff>116416</xdr:colOff>
      <xdr:row>29</xdr:row>
      <xdr:rowOff>66675</xdr:rowOff>
    </xdr:to>
    <xdr:sp macro="" textlink="">
      <xdr:nvSpPr>
        <xdr:cNvPr id="9" name="Прямоугольник 8">
          <a:hlinkClick xmlns:r="http://schemas.openxmlformats.org/officeDocument/2006/relationships" r:id="rId7"/>
          <a:extLst>
            <a:ext uri="{FF2B5EF4-FFF2-40B4-BE49-F238E27FC236}">
              <a16:creationId xmlns:a16="http://schemas.microsoft.com/office/drawing/2014/main" xmlns="" id="{00000000-0008-0000-0600-000009000000}"/>
            </a:ext>
          </a:extLst>
        </xdr:cNvPr>
        <xdr:cNvSpPr/>
      </xdr:nvSpPr>
      <xdr:spPr>
        <a:xfrm>
          <a:off x="74084" y="10393893"/>
          <a:ext cx="5976407" cy="26458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1">
              <a:latin typeface="+mn-lt"/>
              <a:cs typeface="Arial" panose="020B0604020202020204" pitchFamily="34" charset="0"/>
            </a:rPr>
            <a:t>*</a:t>
          </a:r>
          <a:r>
            <a:rPr lang="ru-RU" sz="1100" b="1">
              <a:latin typeface="+mn-lt"/>
              <a:cs typeface="Arial" panose="020B0604020202020204" pitchFamily="34" charset="0"/>
            </a:rPr>
            <a:t>БОЛЕЕ ПОЛНЫЙ СПИСОК ВАРИАНТОВ ЕЦУ ВО ВКЛАДКЕ ЕЦУ</a:t>
          </a:r>
          <a:r>
            <a:rPr lang="ru-RU" sz="1100" b="1" baseline="0">
              <a:latin typeface="+mn-lt"/>
              <a:cs typeface="Arial" panose="020B0604020202020204" pitchFamily="34" charset="0"/>
            </a:rPr>
            <a:t> </a:t>
          </a:r>
          <a:r>
            <a:rPr lang="en-US" sz="1100" b="1" baseline="0">
              <a:latin typeface="+mn-lt"/>
              <a:cs typeface="Arial" panose="020B0604020202020204" pitchFamily="34" charset="0"/>
            </a:rPr>
            <a:t>DALLAS LOCK      </a:t>
          </a:r>
          <a:r>
            <a:rPr lang="en-US" sz="1100" b="1">
              <a:latin typeface="+mn-lt"/>
              <a:cs typeface="Arial" panose="020B0604020202020204" pitchFamily="34" charset="0"/>
            </a:rPr>
            <a:t>&gt;&gt;</a:t>
          </a:r>
          <a:endParaRPr lang="ru-RU" sz="1100" b="1">
            <a:latin typeface="+mn-lt"/>
            <a:cs typeface="Arial" panose="020B0604020202020204" pitchFamily="34" charset="0"/>
          </a:endParaRPr>
        </a:p>
      </xdr:txBody>
    </xdr:sp>
    <xdr:clientData/>
  </xdr:twoCellAnchor>
  <mc:AlternateContent xmlns:mc="http://schemas.openxmlformats.org/markup-compatibility/2006">
    <mc:Choice xmlns:a14="http://schemas.microsoft.com/office/drawing/2010/main" Requires="a14">
      <xdr:twoCellAnchor editAs="oneCell">
        <xdr:from>
          <xdr:col>2</xdr:col>
          <xdr:colOff>3905250</xdr:colOff>
          <xdr:row>25</xdr:row>
          <xdr:rowOff>161925</xdr:rowOff>
        </xdr:from>
        <xdr:to>
          <xdr:col>3</xdr:col>
          <xdr:colOff>66675</xdr:colOff>
          <xdr:row>27</xdr:row>
          <xdr:rowOff>19050</xdr:rowOff>
        </xdr:to>
        <xdr:sp macro="" textlink="">
          <xdr:nvSpPr>
            <xdr:cNvPr id="11272" name="Check Box 8" hidden="1">
              <a:extLst>
                <a:ext uri="{63B3BB69-23CF-44E3-9099-C40C66FF867C}">
                  <a14:compatExt spid="_x0000_s11272"/>
                </a:ext>
                <a:ext uri="{FF2B5EF4-FFF2-40B4-BE49-F238E27FC236}">
                  <a16:creationId xmlns:a16="http://schemas.microsoft.com/office/drawing/2014/main" xmlns="" id="{00000000-0008-0000-06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485775</xdr:colOff>
          <xdr:row>25</xdr:row>
          <xdr:rowOff>161925</xdr:rowOff>
        </xdr:from>
        <xdr:to>
          <xdr:col>11</xdr:col>
          <xdr:colOff>28575</xdr:colOff>
          <xdr:row>27</xdr:row>
          <xdr:rowOff>19050</xdr:rowOff>
        </xdr:to>
        <xdr:sp macro="" textlink="">
          <xdr:nvSpPr>
            <xdr:cNvPr id="11273" name="Check Box 9" hidden="1">
              <a:extLst>
                <a:ext uri="{63B3BB69-23CF-44E3-9099-C40C66FF867C}">
                  <a14:compatExt spid="_x0000_s11273"/>
                </a:ext>
                <a:ext uri="{FF2B5EF4-FFF2-40B4-BE49-F238E27FC236}">
                  <a16:creationId xmlns:a16="http://schemas.microsoft.com/office/drawing/2014/main" xmlns="" id="{00000000-0008-0000-06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28575</xdr:colOff>
      <xdr:row>84</xdr:row>
      <xdr:rowOff>123825</xdr:rowOff>
    </xdr:from>
    <xdr:to>
      <xdr:col>12</xdr:col>
      <xdr:colOff>28576</xdr:colOff>
      <xdr:row>88</xdr:row>
      <xdr:rowOff>84043</xdr:rowOff>
    </xdr:to>
    <xdr:pic>
      <xdr:nvPicPr>
        <xdr:cNvPr id="12" name="Рисунок 11">
          <a:extLst>
            <a:ext uri="{FF2B5EF4-FFF2-40B4-BE49-F238E27FC236}">
              <a16:creationId xmlns:a16="http://schemas.microsoft.com/office/drawing/2014/main" xmlns="" id="{00000000-0008-0000-0600-00000C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71450" y="21116925"/>
          <a:ext cx="12344401" cy="722218"/>
        </a:xfrm>
        <a:prstGeom prst="rect">
          <a:avLst/>
        </a:prstGeom>
      </xdr:spPr>
    </xdr:pic>
    <xdr:clientData/>
  </xdr:twoCellAnchor>
  <xdr:twoCellAnchor editAs="oneCell">
    <xdr:from>
      <xdr:col>0</xdr:col>
      <xdr:colOff>9525</xdr:colOff>
      <xdr:row>29</xdr:row>
      <xdr:rowOff>9525</xdr:rowOff>
    </xdr:from>
    <xdr:to>
      <xdr:col>13</xdr:col>
      <xdr:colOff>0</xdr:colOff>
      <xdr:row>32</xdr:row>
      <xdr:rowOff>192740</xdr:rowOff>
    </xdr:to>
    <xdr:pic>
      <xdr:nvPicPr>
        <xdr:cNvPr id="29" name="Рисунок 28">
          <a:extLst>
            <a:ext uri="{FF2B5EF4-FFF2-40B4-BE49-F238E27FC236}">
              <a16:creationId xmlns:a16="http://schemas.microsoft.com/office/drawing/2014/main" xmlns="" id="{00000000-0008-0000-0600-00001D00000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9525" y="10153650"/>
          <a:ext cx="12649200" cy="754715"/>
        </a:xfrm>
        <a:prstGeom prst="rect">
          <a:avLst/>
        </a:prstGeom>
      </xdr:spPr>
    </xdr:pic>
    <xdr:clientData/>
  </xdr:twoCellAnchor>
  <xdr:twoCellAnchor editAs="oneCell">
    <xdr:from>
      <xdr:col>0</xdr:col>
      <xdr:colOff>0</xdr:colOff>
      <xdr:row>32</xdr:row>
      <xdr:rowOff>182880</xdr:rowOff>
    </xdr:from>
    <xdr:to>
      <xdr:col>13</xdr:col>
      <xdr:colOff>0</xdr:colOff>
      <xdr:row>33</xdr:row>
      <xdr:rowOff>5378</xdr:rowOff>
    </xdr:to>
    <xdr:pic>
      <xdr:nvPicPr>
        <xdr:cNvPr id="13" name="Рисунок 12">
          <a:extLst>
            <a:ext uri="{FF2B5EF4-FFF2-40B4-BE49-F238E27FC236}">
              <a16:creationId xmlns:a16="http://schemas.microsoft.com/office/drawing/2014/main" xmlns="" id="{00000000-0008-0000-0600-00000D00000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0" y="10898505"/>
          <a:ext cx="12658724" cy="765473"/>
        </a:xfrm>
        <a:prstGeom prst="rect">
          <a:avLst/>
        </a:prstGeom>
      </xdr:spPr>
    </xdr:pic>
    <xdr:clientData/>
  </xdr:twoCellAnchor>
  <xdr:twoCellAnchor editAs="oneCell">
    <xdr:from>
      <xdr:col>1</xdr:col>
      <xdr:colOff>52738</xdr:colOff>
      <xdr:row>70</xdr:row>
      <xdr:rowOff>76201</xdr:rowOff>
    </xdr:from>
    <xdr:to>
      <xdr:col>11</xdr:col>
      <xdr:colOff>671161</xdr:colOff>
      <xdr:row>77</xdr:row>
      <xdr:rowOff>183217</xdr:rowOff>
    </xdr:to>
    <xdr:pic>
      <xdr:nvPicPr>
        <xdr:cNvPr id="14" name="Рисунок 13">
          <a:extLst>
            <a:ext uri="{FF2B5EF4-FFF2-40B4-BE49-F238E27FC236}">
              <a16:creationId xmlns:a16="http://schemas.microsoft.com/office/drawing/2014/main" xmlns="" id="{00000000-0008-0000-0600-00000E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xdr:blipFill>
      <xdr:spPr>
        <a:xfrm>
          <a:off x="195613" y="18402301"/>
          <a:ext cx="12257973" cy="144051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17</xdr:col>
      <xdr:colOff>47625</xdr:colOff>
      <xdr:row>2</xdr:row>
      <xdr:rowOff>3715</xdr:rowOff>
    </xdr:to>
    <xdr:pic>
      <xdr:nvPicPr>
        <xdr:cNvPr id="6" name="Рисунок 5">
          <a:hlinkClick xmlns:r="http://schemas.openxmlformats.org/officeDocument/2006/relationships" r:id="rId1"/>
          <a:extLst>
            <a:ext uri="{FF2B5EF4-FFF2-40B4-BE49-F238E27FC236}">
              <a16:creationId xmlns:a16="http://schemas.microsoft.com/office/drawing/2014/main" xmlns="" id="{00000000-0008-0000-0700-000006000000}"/>
            </a:ext>
          </a:extLst>
        </xdr:cNvPr>
        <xdr:cNvPicPr>
          <a:picLocks noChangeAspect="1"/>
        </xdr:cNvPicPr>
      </xdr:nvPicPr>
      <xdr:blipFill>
        <a:blip xmlns:r="http://schemas.openxmlformats.org/officeDocument/2006/relationships" r:embed="rId2"/>
        <a:stretch>
          <a:fillRect/>
        </a:stretch>
      </xdr:blipFill>
      <xdr:spPr>
        <a:xfrm>
          <a:off x="0" y="0"/>
          <a:ext cx="12618720" cy="126863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10</xdr:col>
          <xdr:colOff>533400</xdr:colOff>
          <xdr:row>5</xdr:row>
          <xdr:rowOff>95250</xdr:rowOff>
        </xdr:from>
        <xdr:to>
          <xdr:col>11</xdr:col>
          <xdr:colOff>76200</xdr:colOff>
          <xdr:row>7</xdr:row>
          <xdr:rowOff>9525</xdr:rowOff>
        </xdr:to>
        <xdr:sp macro="" textlink="">
          <xdr:nvSpPr>
            <xdr:cNvPr id="26626" name="Check Box 2" hidden="1">
              <a:extLst>
                <a:ext uri="{63B3BB69-23CF-44E3-9099-C40C66FF867C}">
                  <a14:compatExt spid="_x0000_s26626"/>
                </a:ext>
                <a:ext uri="{FF2B5EF4-FFF2-40B4-BE49-F238E27FC236}">
                  <a16:creationId xmlns:a16="http://schemas.microsoft.com/office/drawing/2014/main" xmlns="" id="{00000000-0008-0000-0700-000002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9525</xdr:colOff>
      <xdr:row>31</xdr:row>
      <xdr:rowOff>130550</xdr:rowOff>
    </xdr:from>
    <xdr:to>
      <xdr:col>2</xdr:col>
      <xdr:colOff>3662654</xdr:colOff>
      <xdr:row>55</xdr:row>
      <xdr:rowOff>171450</xdr:rowOff>
    </xdr:to>
    <xdr:sp macro="" textlink="">
      <xdr:nvSpPr>
        <xdr:cNvPr id="8" name="TextBox 7">
          <a:extLst>
            <a:ext uri="{FF2B5EF4-FFF2-40B4-BE49-F238E27FC236}">
              <a16:creationId xmlns:a16="http://schemas.microsoft.com/office/drawing/2014/main" xmlns="" id="{00000000-0008-0000-0700-000008000000}"/>
            </a:ext>
          </a:extLst>
        </xdr:cNvPr>
        <xdr:cNvSpPr txBox="1"/>
      </xdr:nvSpPr>
      <xdr:spPr>
        <a:xfrm>
          <a:off x="95250" y="10379450"/>
          <a:ext cx="5377154" cy="4612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ru-RU" sz="1100" b="1" i="0" u="none" strike="noStrike" baseline="0">
              <a:solidFill>
                <a:schemeClr val="dk1"/>
              </a:solidFill>
              <a:latin typeface="+mn-lt"/>
              <a:ea typeface="+mn-ea"/>
              <a:cs typeface="Arial" panose="020B0604020202020204" pitchFamily="34" charset="0"/>
            </a:rPr>
            <a:t>Единый центр управления </a:t>
          </a:r>
          <a:r>
            <a:rPr lang="en-US" sz="1100" b="1" i="0" u="none" strike="noStrike" baseline="0">
              <a:solidFill>
                <a:schemeClr val="dk1"/>
              </a:solidFill>
              <a:latin typeface="+mn-lt"/>
              <a:ea typeface="+mn-ea"/>
              <a:cs typeface="Arial" panose="020B0604020202020204" pitchFamily="34" charset="0"/>
            </a:rPr>
            <a:t>Dallas Lock. </a:t>
          </a:r>
          <a:r>
            <a:rPr lang="ru-RU" sz="1100" b="1" i="0" u="none" strike="noStrike" baseline="0">
              <a:solidFill>
                <a:schemeClr val="dk1"/>
              </a:solidFill>
              <a:latin typeface="+mn-lt"/>
              <a:ea typeface="+mn-ea"/>
              <a:cs typeface="Arial" panose="020B0604020202020204" pitchFamily="34" charset="0"/>
            </a:rPr>
            <a:t>Право на использование</a:t>
          </a:r>
        </a:p>
        <a:p>
          <a:pPr algn="l"/>
          <a:r>
            <a:rPr lang="ru-RU" sz="1100" b="0" i="0" u="none" strike="noStrike" baseline="0">
              <a:solidFill>
                <a:schemeClr val="dk1"/>
              </a:solidFill>
              <a:latin typeface="+mn-lt"/>
              <a:ea typeface="+mn-ea"/>
              <a:cs typeface="+mn-cs"/>
            </a:rPr>
            <a:t>ЕЦУ </a:t>
          </a:r>
          <a:r>
            <a:rPr lang="en-US" sz="1100" b="0" i="0" u="none" strike="noStrike" baseline="0">
              <a:solidFill>
                <a:schemeClr val="dk1"/>
              </a:solidFill>
              <a:latin typeface="+mn-lt"/>
              <a:ea typeface="+mn-ea"/>
              <a:cs typeface="+mn-cs"/>
            </a:rPr>
            <a:t>Dallas Lock — </a:t>
          </a:r>
          <a:r>
            <a:rPr lang="ru-RU" sz="1100" b="0" i="0" u="none" strike="noStrike" baseline="0">
              <a:solidFill>
                <a:schemeClr val="dk1"/>
              </a:solidFill>
              <a:latin typeface="+mn-lt"/>
              <a:ea typeface="+mn-ea"/>
              <a:cs typeface="+mn-cs"/>
            </a:rPr>
            <a:t>это единый кроссплатформенный центр управления, который:</a:t>
          </a:r>
        </a:p>
        <a:p>
          <a:pPr algn="l"/>
          <a:r>
            <a:rPr lang="ru-RU" sz="1100" b="0" i="0" baseline="0">
              <a:solidFill>
                <a:schemeClr val="dk1"/>
              </a:solidFill>
              <a:effectLst/>
              <a:latin typeface="+mn-lt"/>
              <a:ea typeface="+mn-ea"/>
              <a:cs typeface="+mn-cs"/>
            </a:rPr>
            <a:t>• </a:t>
          </a:r>
          <a:r>
            <a:rPr lang="ru-RU" sz="1100" b="0" i="0" u="none" strike="noStrike" baseline="0">
              <a:solidFill>
                <a:schemeClr val="dk1"/>
              </a:solidFill>
              <a:latin typeface="+mn-lt"/>
              <a:ea typeface="+mn-ea"/>
              <a:cs typeface="+mn-cs"/>
            </a:rPr>
            <a:t>контролирует конфигурации активного сетевого оборудования;</a:t>
          </a:r>
        </a:p>
        <a:p>
          <a:pPr algn="l"/>
          <a:r>
            <a:rPr lang="ru-RU" sz="1100" b="0" i="0" u="none" strike="noStrike" baseline="0">
              <a:solidFill>
                <a:schemeClr val="dk1"/>
              </a:solidFill>
              <a:latin typeface="+mn-lt"/>
              <a:ea typeface="+mn-ea"/>
              <a:cs typeface="+mn-cs"/>
            </a:rPr>
            <a:t>• управляет всеми решениями продуктовой линейки </a:t>
          </a:r>
          <a:r>
            <a:rPr lang="en-US" sz="1100" b="0" i="0" u="none" strike="noStrike" baseline="0">
              <a:solidFill>
                <a:schemeClr val="dk1"/>
              </a:solidFill>
              <a:latin typeface="+mn-lt"/>
              <a:ea typeface="+mn-ea"/>
              <a:cs typeface="+mn-cs"/>
            </a:rPr>
            <a:t>Dallas</a:t>
          </a:r>
          <a:r>
            <a:rPr lang="ru-RU" sz="1100" b="0" i="0" u="none" strike="noStrike" baseline="0">
              <a:solidFill>
                <a:schemeClr val="dk1"/>
              </a:solidFill>
              <a:latin typeface="+mn-lt"/>
              <a:ea typeface="+mn-ea"/>
              <a:cs typeface="+mn-cs"/>
            </a:rPr>
            <a:t> </a:t>
          </a:r>
          <a:r>
            <a:rPr lang="en-US" sz="1100" b="0" i="0" u="none" strike="noStrike" baseline="0">
              <a:solidFill>
                <a:schemeClr val="dk1"/>
              </a:solidFill>
              <a:latin typeface="+mn-lt"/>
              <a:ea typeface="+mn-ea"/>
              <a:cs typeface="+mn-cs"/>
            </a:rPr>
            <a:t>Lock, </a:t>
          </a:r>
          <a:r>
            <a:rPr lang="ru-RU" sz="1100" b="0" i="0" u="none" strike="noStrike" baseline="0">
              <a:solidFill>
                <a:schemeClr val="dk1"/>
              </a:solidFill>
              <a:latin typeface="+mn-lt"/>
              <a:ea typeface="+mn-ea"/>
              <a:cs typeface="+mn-cs"/>
            </a:rPr>
            <a:t>в том числе находящимися за </a:t>
          </a:r>
          <a:r>
            <a:rPr lang="en-US" sz="1100" b="0" i="0" u="none" strike="noStrike" baseline="0">
              <a:solidFill>
                <a:schemeClr val="dk1"/>
              </a:solidFill>
              <a:latin typeface="+mn-lt"/>
              <a:ea typeface="+mn-ea"/>
              <a:cs typeface="+mn-cs"/>
            </a:rPr>
            <a:t>NAT;</a:t>
          </a:r>
        </a:p>
        <a:p>
          <a:pPr algn="l"/>
          <a:r>
            <a:rPr lang="ru-RU" sz="1100" b="0" i="0" u="none" strike="noStrike" baseline="0">
              <a:solidFill>
                <a:schemeClr val="dk1"/>
              </a:solidFill>
              <a:latin typeface="+mn-lt"/>
              <a:ea typeface="+mn-ea"/>
              <a:cs typeface="+mn-cs"/>
            </a:rPr>
            <a:t>• поддерживает сколь угодно большую и сложную иерархическую структуру множества доменов безопасности;</a:t>
          </a:r>
        </a:p>
        <a:p>
          <a:pPr algn="l"/>
          <a:r>
            <a:rPr lang="ru-RU" sz="1100" b="0" i="0" u="none" strike="noStrike" baseline="0">
              <a:solidFill>
                <a:schemeClr val="dk1"/>
              </a:solidFill>
              <a:latin typeface="+mn-lt"/>
              <a:ea typeface="+mn-ea"/>
              <a:cs typeface="+mn-cs"/>
            </a:rPr>
            <a:t>• удобен во внедрении и эксплуатации в организациях с большим количеством рабочих станций;</a:t>
          </a:r>
        </a:p>
        <a:p>
          <a:pPr algn="l"/>
          <a:r>
            <a:rPr lang="ru-RU" sz="1100" b="0" i="0" u="none" strike="noStrike" baseline="0">
              <a:solidFill>
                <a:schemeClr val="dk1"/>
              </a:solidFill>
              <a:latin typeface="+mn-lt"/>
              <a:ea typeface="+mn-ea"/>
              <a:cs typeface="+mn-cs"/>
            </a:rPr>
            <a:t>• функционирует в том числе на российских ОС</a:t>
          </a:r>
          <a:r>
            <a:rPr lang="en-US" sz="1100" b="0" i="0" u="none" strike="noStrike" baseline="0">
              <a:solidFill>
                <a:schemeClr val="dk1"/>
              </a:solidFill>
              <a:latin typeface="+mn-lt"/>
              <a:ea typeface="+mn-ea"/>
              <a:cs typeface="+mn-cs"/>
            </a:rPr>
            <a:t>.</a:t>
          </a:r>
          <a:endParaRPr lang="ru-RU" sz="1100" b="0" i="0" u="none" strike="noStrike" baseline="0">
            <a:solidFill>
              <a:schemeClr val="dk1"/>
            </a:solidFill>
            <a:latin typeface="+mn-lt"/>
            <a:ea typeface="+mn-ea"/>
            <a:cs typeface="+mn-cs"/>
          </a:endParaRPr>
        </a:p>
        <a:p>
          <a:pPr algn="l"/>
          <a:endParaRPr lang="ru-RU" sz="1100" b="1" i="0" u="none" strike="noStrike" baseline="0">
            <a:solidFill>
              <a:schemeClr val="dk1"/>
            </a:solidFill>
            <a:latin typeface="+mn-lt"/>
            <a:ea typeface="+mn-ea"/>
            <a:cs typeface="Arial" panose="020B0604020202020204" pitchFamily="34" charset="0"/>
          </a:endParaRPr>
        </a:p>
        <a:p>
          <a:pPr algn="l" eaLnBrk="1" fontAlgn="auto" latinLnBrk="0" hangingPunct="1"/>
          <a:r>
            <a:rPr lang="ru-RU" sz="1100" b="1" i="0" baseline="0">
              <a:solidFill>
                <a:schemeClr val="dk1"/>
              </a:solidFill>
              <a:effectLst/>
              <a:latin typeface="+mn-lt"/>
              <a:ea typeface="+mn-ea"/>
              <a:cs typeface="+mn-cs"/>
            </a:rPr>
            <a:t>Единый центр управления </a:t>
          </a:r>
          <a:r>
            <a:rPr lang="en-US" sz="1100" b="1" i="0" baseline="0">
              <a:solidFill>
                <a:schemeClr val="dk1"/>
              </a:solidFill>
              <a:effectLst/>
              <a:latin typeface="+mn-lt"/>
              <a:ea typeface="+mn-ea"/>
              <a:cs typeface="+mn-cs"/>
            </a:rPr>
            <a:t>Dallas Lock. </a:t>
          </a:r>
          <a:r>
            <a:rPr lang="ru-RU" sz="1100" b="1" i="0" baseline="0">
              <a:solidFill>
                <a:schemeClr val="dk1"/>
              </a:solidFill>
              <a:effectLst/>
              <a:latin typeface="+mn-lt"/>
              <a:ea typeface="+mn-ea"/>
              <a:cs typeface="+mn-cs"/>
            </a:rPr>
            <a:t>Электронная дистрибуция</a:t>
          </a:r>
          <a:endParaRPr lang="ru-RU">
            <a:effectLst/>
          </a:endParaRPr>
        </a:p>
        <a:p>
          <a:pPr algn="l"/>
          <a:r>
            <a:rPr lang="ru-RU" sz="1100" b="0" i="0">
              <a:solidFill>
                <a:schemeClr val="dk1"/>
              </a:solidFill>
              <a:effectLst/>
              <a:latin typeface="+mn-lt"/>
              <a:ea typeface="+mn-ea"/>
              <a:cs typeface="+mn-cs"/>
            </a:rPr>
            <a:t>С 1 сентября 2025 года стартовала электронная дистрибуция</a:t>
          </a:r>
          <a:r>
            <a:rPr lang="ru-RU" sz="1100" b="0" i="0" baseline="0">
              <a:solidFill>
                <a:schemeClr val="dk1"/>
              </a:solidFill>
              <a:effectLst/>
              <a:latin typeface="+mn-lt"/>
              <a:ea typeface="+mn-ea"/>
              <a:cs typeface="+mn-cs"/>
            </a:rPr>
            <a:t> –</a:t>
          </a:r>
          <a:r>
            <a:rPr lang="ru-RU" sz="1100" b="0" i="0">
              <a:solidFill>
                <a:schemeClr val="dk1"/>
              </a:solidFill>
              <a:effectLst/>
              <a:latin typeface="+mn-lt"/>
              <a:ea typeface="+mn-ea"/>
              <a:cs typeface="+mn-cs"/>
            </a:rPr>
            <a:t> это возможность скачивать необходимые документы и дистрибутивы в личном</a:t>
          </a:r>
          <a:r>
            <a:rPr lang="ru-RU" sz="1100" b="0" i="0" baseline="0">
              <a:solidFill>
                <a:schemeClr val="dk1"/>
              </a:solidFill>
              <a:effectLst/>
              <a:latin typeface="+mn-lt"/>
              <a:ea typeface="+mn-ea"/>
              <a:cs typeface="+mn-cs"/>
            </a:rPr>
            <a:t> кабинете </a:t>
          </a:r>
          <a:r>
            <a:rPr lang="ru-RU" sz="1100" b="0" i="0">
              <a:solidFill>
                <a:schemeClr val="dk1"/>
              </a:solidFill>
              <a:effectLst/>
              <a:latin typeface="+mn-lt"/>
              <a:ea typeface="+mn-ea"/>
              <a:cs typeface="+mn-cs"/>
            </a:rPr>
            <a:t>пользователя на</a:t>
          </a:r>
          <a:r>
            <a:rPr lang="ru-RU" sz="1100" b="0" i="0" baseline="0">
              <a:solidFill>
                <a:schemeClr val="dk1"/>
              </a:solidFill>
              <a:effectLst/>
              <a:latin typeface="+mn-lt"/>
              <a:ea typeface="+mn-ea"/>
              <a:cs typeface="+mn-cs"/>
            </a:rPr>
            <a:t> </a:t>
          </a:r>
          <a:r>
            <a:rPr lang="ru-RU" sz="1100" b="0" i="0">
              <a:solidFill>
                <a:schemeClr val="dk1"/>
              </a:solidFill>
              <a:effectLst/>
              <a:latin typeface="+mn-lt"/>
              <a:ea typeface="+mn-ea"/>
              <a:cs typeface="+mn-cs"/>
            </a:rPr>
            <a:t>сайте </a:t>
          </a:r>
          <a:r>
            <a:rPr lang="en-US" sz="1100" b="0" i="0">
              <a:solidFill>
                <a:schemeClr val="dk1"/>
              </a:solidFill>
              <a:effectLst/>
              <a:latin typeface="+mn-lt"/>
              <a:ea typeface="+mn-ea"/>
              <a:cs typeface="+mn-cs"/>
            </a:rPr>
            <a:t>www.dallaslock.ru </a:t>
          </a:r>
          <a:r>
            <a:rPr lang="ru-RU" sz="1100" b="0" i="0">
              <a:solidFill>
                <a:schemeClr val="dk1"/>
              </a:solidFill>
              <a:effectLst/>
              <a:latin typeface="+mn-lt"/>
              <a:ea typeface="+mn-ea"/>
              <a:cs typeface="+mn-cs"/>
            </a:rPr>
            <a:t>или воспользоваться ссылками для скачивания в момент активации лицензий. Возможность приобретать физические дистрибутивы</a:t>
          </a:r>
          <a:r>
            <a:rPr lang="ru-RU" sz="1100" b="0" i="0" baseline="0">
              <a:solidFill>
                <a:schemeClr val="dk1"/>
              </a:solidFill>
              <a:effectLst/>
              <a:latin typeface="+mn-lt"/>
              <a:ea typeface="+mn-ea"/>
              <a:cs typeface="+mn-cs"/>
            </a:rPr>
            <a:t> </a:t>
          </a:r>
          <a:r>
            <a:rPr lang="ru-RU" sz="1100" b="0" i="0">
              <a:solidFill>
                <a:schemeClr val="dk1"/>
              </a:solidFill>
              <a:effectLst/>
              <a:latin typeface="+mn-lt"/>
              <a:ea typeface="+mn-ea"/>
              <a:cs typeface="+mn-cs"/>
            </a:rPr>
            <a:t>сохраняется.</a:t>
          </a:r>
          <a:endParaRPr lang="ru-RU" sz="1100" b="1" i="0" u="none" strike="noStrike" baseline="0">
            <a:solidFill>
              <a:schemeClr val="dk1"/>
            </a:solidFill>
            <a:latin typeface="+mn-lt"/>
            <a:ea typeface="+mn-ea"/>
            <a:cs typeface="Arial" panose="020B0604020202020204" pitchFamily="34" charset="0"/>
          </a:endParaRPr>
        </a:p>
        <a:p>
          <a:pPr algn="l"/>
          <a:endParaRPr lang="en-US" sz="1100" b="1" i="0" u="none" strike="noStrike" baseline="0">
            <a:solidFill>
              <a:schemeClr val="dk1"/>
            </a:solidFill>
            <a:latin typeface="+mn-lt"/>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lang="ru-RU" sz="1100" b="1" i="0" u="none" strike="noStrike" baseline="0">
              <a:solidFill>
                <a:schemeClr val="dk1"/>
              </a:solidFill>
              <a:latin typeface="+mn-lt"/>
              <a:ea typeface="+mn-ea"/>
              <a:cs typeface="Arial" panose="020B0604020202020204" pitchFamily="34" charset="0"/>
            </a:rPr>
            <a:t>Комплект поставки </a:t>
          </a:r>
          <a:r>
            <a:rPr lang="ru-RU" sz="1100" b="1" i="0" baseline="0">
              <a:solidFill>
                <a:schemeClr val="dk1"/>
              </a:solidFill>
              <a:effectLst/>
              <a:latin typeface="+mn-lt"/>
              <a:ea typeface="+mn-ea"/>
              <a:cs typeface="+mn-cs"/>
            </a:rPr>
            <a:t>(возможна электронная поставка)</a:t>
          </a:r>
          <a:endParaRPr lang="ru-RU" sz="1100" b="1" i="0" u="none" strike="noStrike" baseline="0">
            <a:solidFill>
              <a:schemeClr val="dk1"/>
            </a:solidFill>
            <a:latin typeface="+mn-lt"/>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lang="ru-RU" sz="1100" b="0" i="0" baseline="0">
              <a:solidFill>
                <a:schemeClr val="dk1"/>
              </a:solidFill>
              <a:effectLst/>
              <a:latin typeface="+mn-lt"/>
              <a:ea typeface="+mn-ea"/>
              <a:cs typeface="+mn-cs"/>
            </a:rPr>
            <a:t>• Компакт-диск с ПО ЕЦУ </a:t>
          </a:r>
          <a:r>
            <a:rPr lang="en-US" sz="1100" b="0" i="0" baseline="0">
              <a:solidFill>
                <a:schemeClr val="dk1"/>
              </a:solidFill>
              <a:effectLst/>
              <a:latin typeface="+mn-lt"/>
              <a:ea typeface="+mn-ea"/>
              <a:cs typeface="+mn-cs"/>
            </a:rPr>
            <a:t>Dallas Lock</a:t>
          </a:r>
          <a:r>
            <a:rPr lang="ru-RU" sz="1100" b="0" i="0" baseline="0">
              <a:solidFill>
                <a:schemeClr val="dk1"/>
              </a:solidFill>
              <a:effectLst/>
              <a:latin typeface="+mn-lt"/>
              <a:ea typeface="+mn-ea"/>
              <a:cs typeface="+mn-cs"/>
            </a:rPr>
            <a:t> и документацией в электронном виде; краткое руководство.</a:t>
          </a:r>
          <a:endParaRPr lang="ru-RU">
            <a:effectLst/>
          </a:endParaRPr>
        </a:p>
        <a:p>
          <a:pPr algn="l"/>
          <a:r>
            <a:rPr lang="ru-RU" sz="1100" b="0" i="0" baseline="0">
              <a:solidFill>
                <a:schemeClr val="dk1"/>
              </a:solidFill>
              <a:effectLst/>
              <a:latin typeface="+mn-lt"/>
              <a:ea typeface="+mn-ea"/>
              <a:cs typeface="+mn-cs"/>
            </a:rPr>
            <a:t>• </a:t>
          </a:r>
          <a:r>
            <a:rPr lang="ru-RU" sz="1100" b="0" i="0" u="none" strike="noStrike" baseline="0">
              <a:solidFill>
                <a:schemeClr val="dk1"/>
              </a:solidFill>
              <a:latin typeface="+mn-lt"/>
              <a:ea typeface="+mn-ea"/>
              <a:cs typeface="Arial" panose="020B0604020202020204" pitchFamily="34" charset="0"/>
            </a:rPr>
            <a:t>Лицензионный</a:t>
          </a:r>
          <a:r>
            <a:rPr lang="en-US" sz="1100" b="0" i="0" u="none" strike="noStrike" baseline="0">
              <a:solidFill>
                <a:schemeClr val="dk1"/>
              </a:solidFill>
              <a:latin typeface="+mn-lt"/>
              <a:ea typeface="+mn-ea"/>
              <a:cs typeface="Arial" panose="020B0604020202020204" pitchFamily="34" charset="0"/>
            </a:rPr>
            <a:t> USB-</a:t>
          </a:r>
          <a:r>
            <a:rPr lang="ru-RU" sz="1100" b="0" i="0" u="none" strike="noStrike" baseline="0">
              <a:solidFill>
                <a:schemeClr val="dk1"/>
              </a:solidFill>
              <a:latin typeface="+mn-lt"/>
              <a:ea typeface="+mn-ea"/>
              <a:cs typeface="Arial" panose="020B0604020202020204" pitchFamily="34" charset="0"/>
            </a:rPr>
            <a:t>ключ ЕЦУ </a:t>
          </a:r>
          <a:r>
            <a:rPr lang="en-US" sz="1100" b="0" i="0" u="none" strike="noStrike" baseline="0">
              <a:solidFill>
                <a:schemeClr val="dk1"/>
              </a:solidFill>
              <a:latin typeface="+mn-lt"/>
              <a:ea typeface="+mn-ea"/>
              <a:cs typeface="Arial" panose="020B0604020202020204" pitchFamily="34" charset="0"/>
            </a:rPr>
            <a:t>Dallas Lock </a:t>
          </a:r>
          <a:r>
            <a:rPr lang="ru-RU" sz="1100" b="0" i="0" u="none" strike="noStrike" baseline="0">
              <a:solidFill>
                <a:schemeClr val="dk1"/>
              </a:solidFill>
              <a:latin typeface="+mn-lt"/>
              <a:ea typeface="+mn-ea"/>
              <a:cs typeface="Arial" panose="020B0604020202020204" pitchFamily="34" charset="0"/>
            </a:rPr>
            <a:t>с указанием максимального количества клиентских подключений.</a:t>
          </a:r>
        </a:p>
        <a:p>
          <a:pPr algn="l"/>
          <a:endParaRPr lang="ru-RU" sz="1100" b="0" i="0" u="none" strike="noStrike" baseline="0">
            <a:solidFill>
              <a:schemeClr val="dk1"/>
            </a:solidFill>
            <a:latin typeface="+mn-lt"/>
            <a:ea typeface="+mn-ea"/>
            <a:cs typeface="Arial" panose="020B0604020202020204" pitchFamily="34" charset="0"/>
          </a:endParaRPr>
        </a:p>
        <a:p>
          <a:pPr algn="l"/>
          <a:endParaRPr lang="ru-RU" sz="1100" b="0" i="0" u="none" strike="noStrike" baseline="0">
            <a:solidFill>
              <a:schemeClr val="dk1"/>
            </a:solidFill>
            <a:latin typeface="+mn-lt"/>
            <a:ea typeface="+mn-ea"/>
            <a:cs typeface="Arial" panose="020B0604020202020204" pitchFamily="34" charset="0"/>
          </a:endParaRPr>
        </a:p>
        <a:p>
          <a:pPr algn="l"/>
          <a:endParaRPr lang="ru-RU" sz="1100" b="0" i="0" u="none" strike="noStrike" baseline="0">
            <a:solidFill>
              <a:schemeClr val="dk1"/>
            </a:solidFill>
            <a:latin typeface="+mn-lt"/>
            <a:ea typeface="+mn-ea"/>
            <a:cs typeface="Arial" panose="020B0604020202020204" pitchFamily="34" charset="0"/>
          </a:endParaRPr>
        </a:p>
        <a:p>
          <a:pPr algn="l" eaLnBrk="1" fontAlgn="auto" latinLnBrk="0" hangingPunct="1"/>
          <a:endParaRPr lang="ru-RU">
            <a:effectLst/>
          </a:endParaRPr>
        </a:p>
        <a:p>
          <a:pPr algn="l"/>
          <a:endParaRPr lang="ru-RU" sz="1100" b="0" i="0" u="none" strike="noStrike" baseline="0">
            <a:solidFill>
              <a:schemeClr val="dk1"/>
            </a:solidFill>
            <a:latin typeface="+mn-lt"/>
            <a:ea typeface="+mn-ea"/>
            <a:cs typeface="Arial" panose="020B0604020202020204" pitchFamily="34" charset="0"/>
          </a:endParaRPr>
        </a:p>
      </xdr:txBody>
    </xdr:sp>
    <xdr:clientData/>
  </xdr:twoCellAnchor>
  <xdr:twoCellAnchor>
    <xdr:from>
      <xdr:col>2</xdr:col>
      <xdr:colOff>3743069</xdr:colOff>
      <xdr:row>31</xdr:row>
      <xdr:rowOff>159124</xdr:rowOff>
    </xdr:from>
    <xdr:to>
      <xdr:col>11</xdr:col>
      <xdr:colOff>647700</xdr:colOff>
      <xdr:row>59</xdr:row>
      <xdr:rowOff>38100</xdr:rowOff>
    </xdr:to>
    <xdr:sp macro="" textlink="">
      <xdr:nvSpPr>
        <xdr:cNvPr id="9" name="TextBox 8">
          <a:extLst>
            <a:ext uri="{FF2B5EF4-FFF2-40B4-BE49-F238E27FC236}">
              <a16:creationId xmlns:a16="http://schemas.microsoft.com/office/drawing/2014/main" xmlns="" id="{00000000-0008-0000-0700-000009000000}"/>
            </a:ext>
          </a:extLst>
        </xdr:cNvPr>
        <xdr:cNvSpPr txBox="1"/>
      </xdr:nvSpPr>
      <xdr:spPr>
        <a:xfrm>
          <a:off x="5552819" y="10408024"/>
          <a:ext cx="6505831" cy="52129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ru-RU" sz="1100" b="1">
              <a:solidFill>
                <a:schemeClr val="dk1"/>
              </a:solidFill>
              <a:effectLst/>
              <a:latin typeface="+mn-lt"/>
              <a:ea typeface="+mn-ea"/>
              <a:cs typeface="+mn-cs"/>
            </a:rPr>
            <a:t>Техническая поддержка</a:t>
          </a:r>
          <a:endParaRPr lang="ru-RU">
            <a:effectLst/>
          </a:endParaRPr>
        </a:p>
        <a:p>
          <a:pPr eaLnBrk="1" fontAlgn="auto" latinLnBrk="0" hangingPunct="1"/>
          <a:r>
            <a:rPr lang="ru-RU" sz="1100" b="0" i="0" baseline="0">
              <a:solidFill>
                <a:schemeClr val="dk1"/>
              </a:solidFill>
              <a:effectLst/>
              <a:latin typeface="+mn-lt"/>
              <a:ea typeface="+mn-ea"/>
              <a:cs typeface="+mn-cs"/>
            </a:rPr>
            <a:t>При первичном приобретении гарантийное сопровождение (основной пакет) в течение 1 года включено в стоимость (окончание артикула </a:t>
          </a:r>
          <a:r>
            <a:rPr lang="en-US" sz="1100" b="1" i="0" baseline="0">
              <a:solidFill>
                <a:schemeClr val="dk1"/>
              </a:solidFill>
              <a:effectLst/>
              <a:latin typeface="+mn-lt"/>
              <a:ea typeface="+mn-ea"/>
              <a:cs typeface="+mn-cs"/>
            </a:rPr>
            <a:t>z = 12M</a:t>
          </a:r>
          <a:r>
            <a:rPr lang="ru-RU" sz="1100" b="0" i="0" baseline="0">
              <a:solidFill>
                <a:schemeClr val="dk1"/>
              </a:solidFill>
              <a:effectLst/>
              <a:latin typeface="+mn-lt"/>
              <a:ea typeface="+mn-ea"/>
              <a:cs typeface="+mn-cs"/>
            </a:rPr>
            <a:t>).</a:t>
          </a:r>
          <a:r>
            <a:rPr lang="en-US" sz="1100" b="0" i="0" baseline="0">
              <a:solidFill>
                <a:schemeClr val="dk1"/>
              </a:solidFill>
              <a:effectLst/>
              <a:latin typeface="+mn-lt"/>
              <a:ea typeface="+mn-ea"/>
              <a:cs typeface="+mn-cs"/>
            </a:rPr>
            <a:t> </a:t>
          </a:r>
          <a:r>
            <a:rPr lang="ru-RU" sz="1100" b="0" i="0" baseline="0">
              <a:solidFill>
                <a:schemeClr val="dk1"/>
              </a:solidFill>
              <a:effectLst/>
              <a:latin typeface="+mn-lt"/>
              <a:ea typeface="+mn-ea"/>
              <a:cs typeface="+mn-cs"/>
            </a:rPr>
            <a:t>В случае приобретения лицензий с гарантийным сопровождением (основной пакет) на 3 года, стоимость лицензии умножается на коэффициент </a:t>
          </a:r>
          <a:r>
            <a:rPr lang="ru-RU" sz="1100" b="1" i="0" baseline="0">
              <a:solidFill>
                <a:schemeClr val="dk1"/>
              </a:solidFill>
              <a:effectLst/>
              <a:latin typeface="+mn-lt"/>
              <a:ea typeface="+mn-ea"/>
              <a:cs typeface="+mn-cs"/>
            </a:rPr>
            <a:t>1,35</a:t>
          </a:r>
          <a:r>
            <a:rPr lang="ru-RU" sz="1100" b="0" i="0" baseline="0">
              <a:solidFill>
                <a:schemeClr val="dk1"/>
              </a:solidFill>
              <a:effectLst/>
              <a:latin typeface="+mn-lt"/>
              <a:ea typeface="+mn-ea"/>
              <a:cs typeface="+mn-cs"/>
            </a:rPr>
            <a:t> (</a:t>
          </a:r>
          <a:r>
            <a:rPr lang="en-US" sz="1100" b="1" i="0" baseline="0">
              <a:solidFill>
                <a:schemeClr val="dk1"/>
              </a:solidFill>
              <a:effectLst/>
              <a:latin typeface="+mn-lt"/>
              <a:ea typeface="+mn-ea"/>
              <a:cs typeface="+mn-cs"/>
            </a:rPr>
            <a:t>z = 36M</a:t>
          </a:r>
          <a:r>
            <a:rPr lang="ru-RU" sz="1100" b="0" i="0" baseline="0">
              <a:solidFill>
                <a:schemeClr val="dk1"/>
              </a:solidFill>
              <a:effectLst/>
              <a:latin typeface="+mn-lt"/>
              <a:ea typeface="+mn-ea"/>
              <a:cs typeface="+mn-cs"/>
            </a:rPr>
            <a:t>). При первичном приобретении с техническим сопровождением расширенного пакета «24х7» окончания артикулов </a:t>
          </a:r>
          <a:r>
            <a:rPr lang="en-US" sz="1100" b="1" i="0" baseline="0">
              <a:solidFill>
                <a:schemeClr val="dk1"/>
              </a:solidFill>
              <a:effectLst/>
              <a:latin typeface="+mn-lt"/>
              <a:ea typeface="+mn-ea"/>
              <a:cs typeface="+mn-cs"/>
            </a:rPr>
            <a:t>12M</a:t>
          </a:r>
          <a:r>
            <a:rPr lang="en-US" sz="1100" b="0" i="0" baseline="0">
              <a:solidFill>
                <a:schemeClr val="dk1"/>
              </a:solidFill>
              <a:effectLst/>
              <a:latin typeface="+mn-lt"/>
              <a:ea typeface="+mn-ea"/>
              <a:cs typeface="+mn-cs"/>
            </a:rPr>
            <a:t>, </a:t>
          </a:r>
          <a:r>
            <a:rPr lang="en-US" sz="1100" b="1" i="0" baseline="0">
              <a:solidFill>
                <a:schemeClr val="dk1"/>
              </a:solidFill>
              <a:effectLst/>
              <a:latin typeface="+mn-lt"/>
              <a:ea typeface="+mn-ea"/>
              <a:cs typeface="+mn-cs"/>
            </a:rPr>
            <a:t>36M</a:t>
          </a:r>
          <a:r>
            <a:rPr lang="ru-RU" sz="1100" b="0" i="0" baseline="0">
              <a:solidFill>
                <a:schemeClr val="dk1"/>
              </a:solidFill>
              <a:effectLst/>
              <a:latin typeface="+mn-lt"/>
              <a:ea typeface="+mn-ea"/>
              <a:cs typeface="+mn-cs"/>
            </a:rPr>
            <a:t> заменяются на </a:t>
          </a:r>
          <a:r>
            <a:rPr lang="en-US" sz="1100" b="1" i="0" baseline="0">
              <a:solidFill>
                <a:schemeClr val="dk1"/>
              </a:solidFill>
              <a:effectLst/>
              <a:latin typeface="+mn-lt"/>
              <a:ea typeface="+mn-ea"/>
              <a:cs typeface="+mn-cs"/>
            </a:rPr>
            <a:t>12M247</a:t>
          </a:r>
          <a:r>
            <a:rPr lang="ru-RU" sz="1100" b="0" i="0" baseline="0">
              <a:solidFill>
                <a:schemeClr val="dk1"/>
              </a:solidFill>
              <a:effectLst/>
              <a:latin typeface="+mn-lt"/>
              <a:ea typeface="+mn-ea"/>
              <a:cs typeface="+mn-cs"/>
            </a:rPr>
            <a:t>, </a:t>
          </a:r>
          <a:r>
            <a:rPr lang="en-US" sz="1100" b="1" i="0" baseline="0">
              <a:solidFill>
                <a:schemeClr val="dk1"/>
              </a:solidFill>
              <a:effectLst/>
              <a:latin typeface="+mn-lt"/>
              <a:ea typeface="+mn-ea"/>
              <a:cs typeface="+mn-cs"/>
            </a:rPr>
            <a:t>36M247</a:t>
          </a:r>
          <a:r>
            <a:rPr lang="en-US" sz="1100" b="0" i="0" baseline="0">
              <a:solidFill>
                <a:schemeClr val="dk1"/>
              </a:solidFill>
              <a:effectLst/>
              <a:latin typeface="+mn-lt"/>
              <a:ea typeface="+mn-ea"/>
              <a:cs typeface="+mn-cs"/>
            </a:rPr>
            <a:t> </a:t>
          </a:r>
          <a:r>
            <a:rPr lang="ru-RU" sz="1100" b="0" i="0" baseline="0">
              <a:solidFill>
                <a:schemeClr val="dk1"/>
              </a:solidFill>
              <a:effectLst/>
              <a:latin typeface="+mn-lt"/>
              <a:ea typeface="+mn-ea"/>
              <a:cs typeface="+mn-cs"/>
            </a:rPr>
            <a:t>соответственно. Агенты ЕЦУ </a:t>
          </a:r>
          <a:r>
            <a:rPr lang="en-US" sz="1100" b="0" i="0" baseline="0">
              <a:solidFill>
                <a:schemeClr val="dk1"/>
              </a:solidFill>
              <a:effectLst/>
              <a:latin typeface="+mn-lt"/>
              <a:ea typeface="+mn-ea"/>
              <a:cs typeface="+mn-cs"/>
            </a:rPr>
            <a:t>Dallas Lock </a:t>
          </a:r>
          <a:r>
            <a:rPr lang="ru-RU" sz="1100" b="0" i="0" baseline="0">
              <a:solidFill>
                <a:schemeClr val="dk1"/>
              </a:solidFill>
              <a:effectLst/>
              <a:latin typeface="+mn-lt"/>
              <a:ea typeface="+mn-ea"/>
              <a:cs typeface="+mn-cs"/>
            </a:rPr>
            <a:t>не требуют приобретения гарантийного сопровождения. Продление технического сопровождения оформляется в виде сертификата на код активации технической поддержки. </a:t>
          </a:r>
          <a:r>
            <a:rPr lang="ru-RU" sz="1100">
              <a:solidFill>
                <a:schemeClr val="dk1"/>
              </a:solidFill>
              <a:effectLst/>
              <a:latin typeface="+mn-lt"/>
              <a:ea typeface="+mn-ea"/>
              <a:cs typeface="+mn-cs"/>
            </a:rPr>
            <a:t>Сертификат передается по УПД или товарной накладной по форме ТОРГ-12 с оформлением счета-фактуры.</a:t>
          </a:r>
          <a:endParaRPr lang="ru-RU">
            <a:effectLst/>
          </a:endParaRPr>
        </a:p>
        <a:p>
          <a:pPr algn="l"/>
          <a:endParaRPr lang="ru-RU" sz="1100" b="0" i="0" baseline="0">
            <a:solidFill>
              <a:schemeClr val="dk1"/>
            </a:solidFill>
            <a:effectLst/>
            <a:latin typeface="+mn-lt"/>
            <a:ea typeface="+mn-ea"/>
            <a:cs typeface="+mn-cs"/>
          </a:endParaRPr>
        </a:p>
        <a:p>
          <a:pPr algn="l"/>
          <a:r>
            <a:rPr lang="ru-RU" sz="1100" b="0" i="0" baseline="0">
              <a:solidFill>
                <a:schemeClr val="dk1"/>
              </a:solidFill>
              <a:effectLst/>
              <a:latin typeface="+mn-lt"/>
              <a:ea typeface="+mn-ea"/>
              <a:cs typeface="+mn-cs"/>
            </a:rPr>
            <a:t>Стоимость последующего технического сопровождения (основной пакет) составляет 20% (15% для лицензий с артикулом </a:t>
          </a:r>
          <a:r>
            <a:rPr lang="en-US" sz="1100" b="0" i="0" baseline="0">
              <a:solidFill>
                <a:schemeClr val="dk1"/>
              </a:solidFill>
              <a:effectLst/>
              <a:latin typeface="+mn-lt"/>
              <a:ea typeface="+mn-ea"/>
              <a:cs typeface="+mn-cs"/>
            </a:rPr>
            <a:t>*</a:t>
          </a:r>
          <a:r>
            <a:rPr lang="ru-RU" sz="1100" b="0" i="0" baseline="0">
              <a:solidFill>
                <a:schemeClr val="dk1"/>
              </a:solidFill>
              <a:effectLst/>
              <a:latin typeface="+mn-lt"/>
              <a:ea typeface="+mn-ea"/>
              <a:cs typeface="+mn-cs"/>
            </a:rPr>
            <a:t>.36</a:t>
          </a:r>
          <a:r>
            <a:rPr lang="en-US" sz="1100" b="0" i="0" baseline="0">
              <a:solidFill>
                <a:schemeClr val="dk1"/>
              </a:solidFill>
              <a:effectLst/>
              <a:latin typeface="+mn-lt"/>
              <a:ea typeface="+mn-ea"/>
              <a:cs typeface="+mn-cs"/>
            </a:rPr>
            <a:t>M</a:t>
          </a:r>
          <a:r>
            <a:rPr lang="ru-RU" sz="1100" b="0" i="0" baseline="0">
              <a:solidFill>
                <a:schemeClr val="dk1"/>
              </a:solidFill>
              <a:effectLst/>
              <a:latin typeface="+mn-lt"/>
              <a:ea typeface="+mn-ea"/>
              <a:cs typeface="+mn-cs"/>
            </a:rPr>
            <a:t>) от стоимости лицензий в год. При оплате технического сопровождения (основной пакет) вперед на 3 года действует скидка – стоимость продления составит 55% (40% для лицензий с артикулом </a:t>
          </a:r>
          <a:r>
            <a:rPr lang="en-US" sz="1100" b="0" i="0" baseline="0">
              <a:solidFill>
                <a:schemeClr val="dk1"/>
              </a:solidFill>
              <a:effectLst/>
              <a:latin typeface="+mn-lt"/>
              <a:ea typeface="+mn-ea"/>
              <a:cs typeface="+mn-cs"/>
            </a:rPr>
            <a:t>*</a:t>
          </a:r>
          <a:r>
            <a:rPr lang="ru-RU" sz="1100" b="0" i="0" baseline="0">
              <a:solidFill>
                <a:schemeClr val="dk1"/>
              </a:solidFill>
              <a:effectLst/>
              <a:latin typeface="+mn-lt"/>
              <a:ea typeface="+mn-ea"/>
              <a:cs typeface="+mn-cs"/>
            </a:rPr>
            <a:t>.36</a:t>
          </a:r>
          <a:r>
            <a:rPr lang="en-US" sz="1100" b="0" i="0" baseline="0">
              <a:solidFill>
                <a:schemeClr val="dk1"/>
              </a:solidFill>
              <a:effectLst/>
              <a:latin typeface="+mn-lt"/>
              <a:ea typeface="+mn-ea"/>
              <a:cs typeface="+mn-cs"/>
            </a:rPr>
            <a:t>M</a:t>
          </a:r>
          <a:r>
            <a:rPr lang="ru-RU" sz="1100" b="0" i="0" baseline="0">
              <a:solidFill>
                <a:schemeClr val="dk1"/>
              </a:solidFill>
              <a:effectLst/>
              <a:latin typeface="+mn-lt"/>
              <a:ea typeface="+mn-ea"/>
              <a:cs typeface="+mn-cs"/>
            </a:rPr>
            <a:t>) от розничной стоимости лицензий. Стоимость последующего технического сопровождения (расширенный пакет «24х7») составляет 30% (22% для лицензий с артикулом </a:t>
          </a:r>
          <a:r>
            <a:rPr lang="en-US" sz="1100" b="0" i="0" baseline="0">
              <a:solidFill>
                <a:schemeClr val="dk1"/>
              </a:solidFill>
              <a:effectLst/>
              <a:latin typeface="+mn-lt"/>
              <a:ea typeface="+mn-ea"/>
              <a:cs typeface="+mn-cs"/>
            </a:rPr>
            <a:t>*</a:t>
          </a:r>
          <a:r>
            <a:rPr lang="ru-RU" sz="1100" b="0" i="0" baseline="0">
              <a:solidFill>
                <a:schemeClr val="dk1"/>
              </a:solidFill>
              <a:effectLst/>
              <a:latin typeface="+mn-lt"/>
              <a:ea typeface="+mn-ea"/>
              <a:cs typeface="+mn-cs"/>
            </a:rPr>
            <a:t>.36</a:t>
          </a:r>
          <a:r>
            <a:rPr lang="en-US" sz="1100" b="0" i="0" baseline="0">
              <a:solidFill>
                <a:schemeClr val="dk1"/>
              </a:solidFill>
              <a:effectLst/>
              <a:latin typeface="+mn-lt"/>
              <a:ea typeface="+mn-ea"/>
              <a:cs typeface="+mn-cs"/>
            </a:rPr>
            <a:t>M</a:t>
          </a:r>
          <a:r>
            <a:rPr lang="ru-RU" sz="1100" b="0" i="0" baseline="0">
              <a:solidFill>
                <a:schemeClr val="dk1"/>
              </a:solidFill>
              <a:effectLst/>
              <a:latin typeface="+mn-lt"/>
              <a:ea typeface="+mn-ea"/>
              <a:cs typeface="+mn-cs"/>
            </a:rPr>
            <a:t>) от стоимости лицензий в год. При оплате технического сопровождения (расширенный пакет «24х7») вперед на 3 года действует скидка – стоимость продления составит 80% (60% для лицензий с артикулом </a:t>
          </a:r>
          <a:r>
            <a:rPr lang="en-US" sz="1100" b="0" i="0" baseline="0">
              <a:solidFill>
                <a:schemeClr val="dk1"/>
              </a:solidFill>
              <a:effectLst/>
              <a:latin typeface="+mn-lt"/>
              <a:ea typeface="+mn-ea"/>
              <a:cs typeface="+mn-cs"/>
            </a:rPr>
            <a:t>*</a:t>
          </a:r>
          <a:r>
            <a:rPr lang="ru-RU" sz="1100" b="0" i="0" baseline="0">
              <a:solidFill>
                <a:schemeClr val="dk1"/>
              </a:solidFill>
              <a:effectLst/>
              <a:latin typeface="+mn-lt"/>
              <a:ea typeface="+mn-ea"/>
              <a:cs typeface="+mn-cs"/>
            </a:rPr>
            <a:t>.36</a:t>
          </a:r>
          <a:r>
            <a:rPr lang="en-US" sz="1100" b="0" i="0" baseline="0">
              <a:solidFill>
                <a:schemeClr val="dk1"/>
              </a:solidFill>
              <a:effectLst/>
              <a:latin typeface="+mn-lt"/>
              <a:ea typeface="+mn-ea"/>
              <a:cs typeface="+mn-cs"/>
            </a:rPr>
            <a:t>M</a:t>
          </a:r>
          <a:r>
            <a:rPr lang="ru-RU" sz="1100" b="0" i="0" baseline="0">
              <a:solidFill>
                <a:schemeClr val="dk1"/>
              </a:solidFill>
              <a:effectLst/>
              <a:latin typeface="+mn-lt"/>
              <a:ea typeface="+mn-ea"/>
              <a:cs typeface="+mn-cs"/>
            </a:rPr>
            <a:t>) от стоимости лицензий. При продлении технического сопровождения оплачивается также весь период с момента окончания гарантийного или технического сопровождения</a:t>
          </a:r>
          <a:r>
            <a:rPr lang="en-US" sz="1100" b="0" i="0" baseline="0">
              <a:solidFill>
                <a:schemeClr val="dk1"/>
              </a:solidFill>
              <a:effectLst/>
              <a:latin typeface="+mn-lt"/>
              <a:ea typeface="+mn-ea"/>
              <a:cs typeface="+mn-cs"/>
            </a:rPr>
            <a:t> </a:t>
          </a:r>
          <a:r>
            <a:rPr lang="ru-RU" sz="1100" b="0" i="0">
              <a:solidFill>
                <a:schemeClr val="dk1"/>
              </a:solidFill>
              <a:effectLst/>
              <a:latin typeface="+mn-lt"/>
              <a:ea typeface="+mn-ea"/>
              <a:cs typeface="+mn-cs"/>
            </a:rPr>
            <a:t>на все лицензии</a:t>
          </a:r>
          <a:r>
            <a:rPr lang="ru-RU" sz="1100" b="0" i="0" baseline="0">
              <a:solidFill>
                <a:schemeClr val="dk1"/>
              </a:solidFill>
              <a:effectLst/>
              <a:latin typeface="+mn-lt"/>
              <a:ea typeface="+mn-ea"/>
              <a:cs typeface="+mn-cs"/>
            </a:rPr>
            <a:t>. Стоимость технического сопровождения на устаревших инфраструктурах (при использовании операционных систем с завершившейся поддержкой от вендора, например, таких, как </a:t>
          </a:r>
          <a:r>
            <a:rPr lang="en-US" sz="1100" b="0" i="0" baseline="0">
              <a:solidFill>
                <a:schemeClr val="dk1"/>
              </a:solidFill>
              <a:effectLst/>
              <a:latin typeface="+mn-lt"/>
              <a:ea typeface="+mn-ea"/>
              <a:cs typeface="+mn-cs"/>
            </a:rPr>
            <a:t>Windows XP/2003 Server</a:t>
          </a:r>
          <a:r>
            <a:rPr lang="ru-RU" sz="1100" b="0" i="0" baseline="0">
              <a:solidFill>
                <a:schemeClr val="dk1"/>
              </a:solidFill>
              <a:effectLst/>
              <a:latin typeface="+mn-lt"/>
              <a:ea typeface="+mn-ea"/>
              <a:cs typeface="+mn-cs"/>
            </a:rPr>
            <a:t>/</a:t>
          </a:r>
          <a:r>
            <a:rPr lang="en-US" sz="1100" b="0" i="0" baseline="0">
              <a:solidFill>
                <a:schemeClr val="dk1"/>
              </a:solidFill>
              <a:effectLst/>
              <a:latin typeface="+mn-lt"/>
              <a:ea typeface="+mn-ea"/>
              <a:cs typeface="+mn-cs"/>
            </a:rPr>
            <a:t>Windows 7 </a:t>
          </a:r>
          <a:r>
            <a:rPr lang="ru-RU" sz="1100" b="0" i="0" baseline="0">
              <a:solidFill>
                <a:schemeClr val="dk1"/>
              </a:solidFill>
              <a:effectLst/>
              <a:latin typeface="+mn-lt"/>
              <a:ea typeface="+mn-ea"/>
              <a:cs typeface="+mn-cs"/>
            </a:rPr>
            <a:t>и т. д.</a:t>
          </a:r>
          <a:r>
            <a:rPr lang="en-US" sz="1100" b="0" i="0" baseline="0">
              <a:solidFill>
                <a:schemeClr val="dk1"/>
              </a:solidFill>
              <a:effectLst/>
              <a:latin typeface="+mn-lt"/>
              <a:ea typeface="+mn-ea"/>
              <a:cs typeface="+mn-cs"/>
            </a:rPr>
            <a:t>) </a:t>
          </a:r>
          <a:r>
            <a:rPr lang="ru-RU" sz="1100" b="0" i="0" baseline="0">
              <a:solidFill>
                <a:schemeClr val="dk1"/>
              </a:solidFill>
              <a:effectLst/>
              <a:latin typeface="+mn-lt"/>
              <a:ea typeface="+mn-ea"/>
              <a:cs typeface="+mn-cs"/>
            </a:rPr>
            <a:t>удваивается. Пользователи программного обеспечения </a:t>
          </a:r>
          <a:r>
            <a:rPr lang="en-US" sz="1100" b="0" i="0" baseline="0">
              <a:solidFill>
                <a:schemeClr val="dk1"/>
              </a:solidFill>
              <a:effectLst/>
              <a:latin typeface="+mn-lt"/>
              <a:ea typeface="+mn-ea"/>
              <a:cs typeface="+mn-cs"/>
            </a:rPr>
            <a:t>Dallas Lock </a:t>
          </a:r>
          <a:r>
            <a:rPr lang="ru-RU" sz="1100" b="0" i="0" baseline="0">
              <a:solidFill>
                <a:schemeClr val="dk1"/>
              </a:solidFill>
              <a:effectLst/>
              <a:latin typeface="+mn-lt"/>
              <a:ea typeface="+mn-ea"/>
              <a:cs typeface="+mn-cs"/>
            </a:rPr>
            <a:t>в рамках гарантийного или непрерывно действующего технического сопровождения имеют право бесплатного обновления лицензий до следующей версии этого решения (с тем же объемом функциональности). Оплачивается только стоимость новых сертифицированных комплектов для установки и 1 год (3 года для лицензий с артикулом </a:t>
          </a:r>
          <a:r>
            <a:rPr lang="en-US" sz="1100" b="0" i="0" baseline="0">
              <a:solidFill>
                <a:schemeClr val="dk1"/>
              </a:solidFill>
              <a:effectLst/>
              <a:latin typeface="+mn-lt"/>
              <a:ea typeface="+mn-ea"/>
              <a:cs typeface="+mn-cs"/>
            </a:rPr>
            <a:t>*</a:t>
          </a:r>
          <a:r>
            <a:rPr lang="ru-RU" sz="1100" b="0" i="0" baseline="0">
              <a:solidFill>
                <a:schemeClr val="dk1"/>
              </a:solidFill>
              <a:effectLst/>
              <a:latin typeface="+mn-lt"/>
              <a:ea typeface="+mn-ea"/>
              <a:cs typeface="+mn-cs"/>
            </a:rPr>
            <a:t>.36</a:t>
          </a:r>
          <a:r>
            <a:rPr lang="en-US" sz="1100" b="0" i="0" baseline="0">
              <a:solidFill>
                <a:schemeClr val="dk1"/>
              </a:solidFill>
              <a:effectLst/>
              <a:latin typeface="+mn-lt"/>
              <a:ea typeface="+mn-ea"/>
              <a:cs typeface="+mn-cs"/>
            </a:rPr>
            <a:t>M</a:t>
          </a:r>
          <a:r>
            <a:rPr lang="ru-RU" sz="1100" b="0" i="0" baseline="0">
              <a:solidFill>
                <a:schemeClr val="dk1"/>
              </a:solidFill>
              <a:effectLst/>
              <a:latin typeface="+mn-lt"/>
              <a:ea typeface="+mn-ea"/>
              <a:cs typeface="+mn-cs"/>
            </a:rPr>
            <a:t>) технической поддержки.</a:t>
          </a:r>
          <a:endParaRPr lang="ru-RU">
            <a:effectLst/>
          </a:endParaRPr>
        </a:p>
        <a:p>
          <a:pPr algn="l">
            <a:lnSpc>
              <a:spcPct val="115000"/>
            </a:lnSpc>
            <a:spcAft>
              <a:spcPts val="0"/>
            </a:spcAft>
          </a:pPr>
          <a:endParaRPr lang="ru-RU" sz="1100" b="0">
            <a:solidFill>
              <a:srgbClr val="000000"/>
            </a:solidFill>
            <a:effectLst/>
            <a:latin typeface="+mn-lt"/>
            <a:ea typeface="Calibri"/>
            <a:cs typeface="Times New Roman"/>
          </a:endParaRPr>
        </a:p>
      </xdr:txBody>
    </xdr:sp>
    <xdr:clientData/>
  </xdr:twoCellAnchor>
  <xdr:twoCellAnchor>
    <xdr:from>
      <xdr:col>1</xdr:col>
      <xdr:colOff>15239</xdr:colOff>
      <xdr:row>70</xdr:row>
      <xdr:rowOff>23566</xdr:rowOff>
    </xdr:from>
    <xdr:to>
      <xdr:col>17</xdr:col>
      <xdr:colOff>9525</xdr:colOff>
      <xdr:row>75</xdr:row>
      <xdr:rowOff>92581</xdr:rowOff>
    </xdr:to>
    <xdr:grpSp>
      <xdr:nvGrpSpPr>
        <xdr:cNvPr id="2" name="Группа 1">
          <a:extLst>
            <a:ext uri="{FF2B5EF4-FFF2-40B4-BE49-F238E27FC236}">
              <a16:creationId xmlns:a16="http://schemas.microsoft.com/office/drawing/2014/main" xmlns="" id="{00000000-0008-0000-0700-000002000000}"/>
            </a:ext>
          </a:extLst>
        </xdr:cNvPr>
        <xdr:cNvGrpSpPr/>
      </xdr:nvGrpSpPr>
      <xdr:grpSpPr>
        <a:xfrm>
          <a:off x="100964" y="17701966"/>
          <a:ext cx="12129136" cy="1021515"/>
          <a:chOff x="-55586" y="16726810"/>
          <a:chExt cx="13312006" cy="1117149"/>
        </a:xfrm>
      </xdr:grpSpPr>
      <xdr:sp macro="" textlink="">
        <xdr:nvSpPr>
          <xdr:cNvPr id="3" name="TextBox 2">
            <a:extLst>
              <a:ext uri="{FF2B5EF4-FFF2-40B4-BE49-F238E27FC236}">
                <a16:creationId xmlns:a16="http://schemas.microsoft.com/office/drawing/2014/main" xmlns="" id="{00000000-0008-0000-0700-000003000000}"/>
              </a:ext>
            </a:extLst>
          </xdr:cNvPr>
          <xdr:cNvSpPr txBox="1"/>
        </xdr:nvSpPr>
        <xdr:spPr>
          <a:xfrm>
            <a:off x="-55586" y="16815256"/>
            <a:ext cx="12996370" cy="102870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baseline="0">
                <a:solidFill>
                  <a:schemeClr val="dk1"/>
                </a:solidFill>
                <a:latin typeface="+mn-lt"/>
                <a:ea typeface="+mn-ea"/>
                <a:cs typeface="Arial" panose="020B0604020202020204" pitchFamily="34" charset="0"/>
              </a:rPr>
              <a:t>* «x» – </a:t>
            </a:r>
            <a:r>
              <a:rPr lang="ru-RU" sz="1100" b="0" i="0" u="none" strike="noStrike" baseline="0">
                <a:solidFill>
                  <a:schemeClr val="dk1"/>
                </a:solidFill>
                <a:latin typeface="+mn-lt"/>
                <a:ea typeface="+mn-ea"/>
                <a:cs typeface="Arial" panose="020B0604020202020204" pitchFamily="34" charset="0"/>
              </a:rPr>
              <a:t>диапазон приобретаемых лицензий по количеству рабочих станций, серверов</a:t>
            </a:r>
            <a:r>
              <a:rPr lang="ru-RU" sz="1100" b="0" i="0" baseline="0">
                <a:solidFill>
                  <a:schemeClr val="dk1"/>
                </a:solidFill>
                <a:effectLst/>
                <a:latin typeface="+mn-lt"/>
                <a:ea typeface="+mn-ea"/>
                <a:cs typeface="+mn-cs"/>
              </a:rPr>
              <a:t>; «</a:t>
            </a:r>
            <a:r>
              <a:rPr lang="en-US" sz="1100" b="0" i="0" baseline="0">
                <a:solidFill>
                  <a:schemeClr val="dk1"/>
                </a:solidFill>
                <a:effectLst/>
                <a:latin typeface="+mn-lt"/>
                <a:ea typeface="+mn-ea"/>
                <a:cs typeface="+mn-cs"/>
              </a:rPr>
              <a:t>z» – </a:t>
            </a:r>
            <a:r>
              <a:rPr lang="ru-RU" sz="1100" b="0" i="0" baseline="0">
                <a:solidFill>
                  <a:schemeClr val="dk1"/>
                </a:solidFill>
                <a:effectLst/>
                <a:latin typeface="+mn-lt"/>
                <a:ea typeface="+mn-ea"/>
                <a:cs typeface="+mn-cs"/>
              </a:rPr>
              <a:t>срок оказания гарантийного сопровождения: </a:t>
            </a:r>
            <a:r>
              <a:rPr lang="en-US" sz="1100" b="0" i="0" baseline="0">
                <a:solidFill>
                  <a:schemeClr val="dk1"/>
                </a:solidFill>
                <a:effectLst/>
                <a:latin typeface="+mn-lt"/>
                <a:ea typeface="+mn-ea"/>
                <a:cs typeface="+mn-cs"/>
              </a:rPr>
              <a:t>12M </a:t>
            </a:r>
            <a:r>
              <a:rPr lang="ru-RU" sz="1100" b="0" i="0" baseline="0">
                <a:solidFill>
                  <a:schemeClr val="dk1"/>
                </a:solidFill>
                <a:effectLst/>
                <a:latin typeface="+mn-lt"/>
                <a:ea typeface="+mn-ea"/>
                <a:cs typeface="+mn-cs"/>
              </a:rPr>
              <a:t>–</a:t>
            </a:r>
            <a:r>
              <a:rPr lang="en-US" sz="1100" b="0" i="0" baseline="0">
                <a:solidFill>
                  <a:schemeClr val="dk1"/>
                </a:solidFill>
                <a:effectLst/>
                <a:latin typeface="+mn-lt"/>
                <a:ea typeface="+mn-ea"/>
                <a:cs typeface="+mn-cs"/>
              </a:rPr>
              <a:t> </a:t>
            </a:r>
            <a:r>
              <a:rPr lang="ru-RU" sz="1100" b="0" i="0" baseline="0">
                <a:solidFill>
                  <a:schemeClr val="dk1"/>
                </a:solidFill>
                <a:effectLst/>
                <a:latin typeface="+mn-lt"/>
                <a:ea typeface="+mn-ea"/>
                <a:cs typeface="+mn-cs"/>
              </a:rPr>
              <a:t>12 месяцев, 36</a:t>
            </a:r>
            <a:r>
              <a:rPr lang="en-US" sz="1100" b="0" i="0" baseline="0">
                <a:solidFill>
                  <a:schemeClr val="dk1"/>
                </a:solidFill>
                <a:effectLst/>
                <a:latin typeface="+mn-lt"/>
                <a:ea typeface="+mn-ea"/>
                <a:cs typeface="+mn-cs"/>
              </a:rPr>
              <a:t>M </a:t>
            </a:r>
            <a:r>
              <a:rPr lang="ru-RU" sz="1100" b="0" i="0" baseline="0">
                <a:solidFill>
                  <a:schemeClr val="dk1"/>
                </a:solidFill>
                <a:effectLst/>
                <a:latin typeface="+mn-lt"/>
                <a:ea typeface="+mn-ea"/>
                <a:cs typeface="+mn-cs"/>
              </a:rPr>
              <a:t>–</a:t>
            </a:r>
            <a:r>
              <a:rPr lang="en-US" sz="1100" b="0" i="0" baseline="0">
                <a:solidFill>
                  <a:schemeClr val="dk1"/>
                </a:solidFill>
                <a:effectLst/>
                <a:latin typeface="+mn-lt"/>
                <a:ea typeface="+mn-ea"/>
                <a:cs typeface="+mn-cs"/>
              </a:rPr>
              <a:t> </a:t>
            </a:r>
            <a:r>
              <a:rPr lang="ru-RU" sz="1100" b="0" i="0" baseline="0">
                <a:solidFill>
                  <a:schemeClr val="dk1"/>
                </a:solidFill>
                <a:effectLst/>
                <a:latin typeface="+mn-lt"/>
                <a:ea typeface="+mn-ea"/>
                <a:cs typeface="+mn-cs"/>
              </a:rPr>
              <a:t>36 месяцев.</a:t>
            </a:r>
            <a:endParaRPr lang="ru-RU" sz="1100" b="0" i="0" u="none" strike="noStrike" baseline="0">
              <a:solidFill>
                <a:schemeClr val="dk1"/>
              </a:solidFill>
              <a:latin typeface="+mn-lt"/>
              <a:ea typeface="+mn-ea"/>
              <a:cs typeface="Arial" panose="020B0604020202020204" pitchFamily="34" charset="0"/>
            </a:endParaRPr>
          </a:p>
          <a:p>
            <a:r>
              <a:rPr lang="ru-RU" sz="1100" b="0" i="0" u="none" strike="noStrike" baseline="0">
                <a:solidFill>
                  <a:schemeClr val="dk1"/>
                </a:solidFill>
                <a:latin typeface="+mn-lt"/>
                <a:ea typeface="+mn-ea"/>
                <a:cs typeface="Arial" panose="020B0604020202020204" pitchFamily="34" charset="0"/>
              </a:rPr>
              <a:t>** На основании статьи № 149 п. 2 пп. 26 НК РФ стоимость передаваемых неисключительных прав на используемое программное обеспечение не облагается НДС.</a:t>
            </a:r>
            <a:endParaRPr lang="en-US" sz="1100" b="0" i="0" u="none" strike="noStrike" baseline="0">
              <a:solidFill>
                <a:schemeClr val="dk1"/>
              </a:solidFill>
              <a:latin typeface="+mn-lt"/>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ru-RU" sz="1100" b="0" i="0" baseline="0">
                <a:solidFill>
                  <a:schemeClr val="dk1"/>
                </a:solidFill>
                <a:effectLst/>
                <a:latin typeface="+mn-lt"/>
                <a:ea typeface="+mn-ea"/>
                <a:cs typeface="+mn-cs"/>
              </a:rPr>
              <a:t>*** В стоимость входит НДС 2</a:t>
            </a:r>
            <a:r>
              <a:rPr lang="en-US" sz="1100" b="0" i="0" baseline="0">
                <a:solidFill>
                  <a:schemeClr val="dk1"/>
                </a:solidFill>
                <a:effectLst/>
                <a:latin typeface="+mn-lt"/>
                <a:ea typeface="+mn-ea"/>
                <a:cs typeface="+mn-cs"/>
              </a:rPr>
              <a:t>2</a:t>
            </a:r>
            <a:r>
              <a:rPr lang="ru-RU" sz="1100" b="0" i="0" baseline="0">
                <a:solidFill>
                  <a:schemeClr val="dk1"/>
                </a:solidFill>
                <a:effectLst/>
                <a:latin typeface="+mn-lt"/>
                <a:ea typeface="+mn-ea"/>
                <a:cs typeface="+mn-cs"/>
              </a:rPr>
              <a:t>%.</a:t>
            </a:r>
            <a:endParaRPr lang="ru-RU">
              <a:effectLst/>
            </a:endParaRPr>
          </a:p>
          <a:p>
            <a:endParaRPr lang="ru-RU" sz="1100" b="0" i="0" u="none" strike="noStrike" baseline="0">
              <a:solidFill>
                <a:schemeClr val="dk1"/>
              </a:solidFill>
              <a:latin typeface="+mn-lt"/>
              <a:ea typeface="+mn-ea"/>
              <a:cs typeface="Arial" panose="020B0604020202020204" pitchFamily="34" charset="0"/>
            </a:endParaRPr>
          </a:p>
        </xdr:txBody>
      </xdr:sp>
      <xdr:cxnSp macro="">
        <xdr:nvCxnSpPr>
          <xdr:cNvPr id="4" name="Прямая соединительная линия 3">
            <a:extLst>
              <a:ext uri="{FF2B5EF4-FFF2-40B4-BE49-F238E27FC236}">
                <a16:creationId xmlns:a16="http://schemas.microsoft.com/office/drawing/2014/main" xmlns="" id="{00000000-0008-0000-0700-000004000000}"/>
              </a:ext>
            </a:extLst>
          </xdr:cNvPr>
          <xdr:cNvCxnSpPr/>
        </xdr:nvCxnSpPr>
        <xdr:spPr>
          <a:xfrm>
            <a:off x="19087" y="16726810"/>
            <a:ext cx="13237333" cy="12191"/>
          </a:xfrm>
          <a:prstGeom prst="line">
            <a:avLst/>
          </a:prstGeom>
        </xdr:spPr>
        <xdr:style>
          <a:lnRef idx="1">
            <a:schemeClr val="dk1"/>
          </a:lnRef>
          <a:fillRef idx="0">
            <a:schemeClr val="dk1"/>
          </a:fillRef>
          <a:effectRef idx="0">
            <a:schemeClr val="dk1"/>
          </a:effectRef>
          <a:fontRef idx="minor">
            <a:schemeClr val="tx1"/>
          </a:fontRef>
        </xdr:style>
      </xdr:cxnSp>
    </xdr:grpSp>
    <xdr:clientData/>
  </xdr:twoCellAnchor>
  <xdr:twoCellAnchor editAs="oneCell">
    <xdr:from>
      <xdr:col>0</xdr:col>
      <xdr:colOff>19050</xdr:colOff>
      <xdr:row>26</xdr:row>
      <xdr:rowOff>116415</xdr:rowOff>
    </xdr:from>
    <xdr:to>
      <xdr:col>17</xdr:col>
      <xdr:colOff>47625</xdr:colOff>
      <xdr:row>29</xdr:row>
      <xdr:rowOff>76200</xdr:rowOff>
    </xdr:to>
    <xdr:pic>
      <xdr:nvPicPr>
        <xdr:cNvPr id="7" name="Рисунок 6">
          <a:extLst>
            <a:ext uri="{FF2B5EF4-FFF2-40B4-BE49-F238E27FC236}">
              <a16:creationId xmlns:a16="http://schemas.microsoft.com/office/drawing/2014/main" xmlns="" id="{00000000-0008-0000-0700-000007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9050" y="9199455"/>
          <a:ext cx="12599670" cy="50842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xdr:col>
          <xdr:colOff>3743325</xdr:colOff>
          <xdr:row>16</xdr:row>
          <xdr:rowOff>85725</xdr:rowOff>
        </xdr:from>
        <xdr:to>
          <xdr:col>2</xdr:col>
          <xdr:colOff>3952875</xdr:colOff>
          <xdr:row>18</xdr:row>
          <xdr:rowOff>28575</xdr:rowOff>
        </xdr:to>
        <xdr:sp macro="" textlink="">
          <xdr:nvSpPr>
            <xdr:cNvPr id="26629" name="Check Box 5" hidden="1">
              <a:extLst>
                <a:ext uri="{63B3BB69-23CF-44E3-9099-C40C66FF867C}">
                  <a14:compatExt spid="_x0000_s26629"/>
                </a:ext>
                <a:ext uri="{FF2B5EF4-FFF2-40B4-BE49-F238E27FC236}">
                  <a16:creationId xmlns:a16="http://schemas.microsoft.com/office/drawing/2014/main" xmlns="" id="{00000000-0008-0000-0700-000005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514350</xdr:colOff>
          <xdr:row>16</xdr:row>
          <xdr:rowOff>95250</xdr:rowOff>
        </xdr:from>
        <xdr:to>
          <xdr:col>11</xdr:col>
          <xdr:colOff>57150</xdr:colOff>
          <xdr:row>18</xdr:row>
          <xdr:rowOff>9525</xdr:rowOff>
        </xdr:to>
        <xdr:sp macro="" textlink="">
          <xdr:nvSpPr>
            <xdr:cNvPr id="26630" name="Check Box 6" hidden="1">
              <a:extLst>
                <a:ext uri="{63B3BB69-23CF-44E3-9099-C40C66FF867C}">
                  <a14:compatExt spid="_x0000_s26630"/>
                </a:ext>
                <a:ext uri="{FF2B5EF4-FFF2-40B4-BE49-F238E27FC236}">
                  <a16:creationId xmlns:a16="http://schemas.microsoft.com/office/drawing/2014/main" xmlns="" id="{00000000-0008-0000-0700-000006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19050</xdr:colOff>
      <xdr:row>1</xdr:row>
      <xdr:rowOff>1076326</xdr:rowOff>
    </xdr:from>
    <xdr:to>
      <xdr:col>13</xdr:col>
      <xdr:colOff>47625</xdr:colOff>
      <xdr:row>3</xdr:row>
      <xdr:rowOff>1</xdr:rowOff>
    </xdr:to>
    <xdr:sp macro="" textlink="">
      <xdr:nvSpPr>
        <xdr:cNvPr id="5" name="Прямоугольник 4">
          <a:hlinkClick xmlns:r="http://schemas.openxmlformats.org/officeDocument/2006/relationships" r:id="rId4"/>
          <a:extLst>
            <a:ext uri="{FF2B5EF4-FFF2-40B4-BE49-F238E27FC236}">
              <a16:creationId xmlns:a16="http://schemas.microsoft.com/office/drawing/2014/main" xmlns="" id="{00000000-0008-0000-0700-000005000000}"/>
            </a:ext>
          </a:extLst>
        </xdr:cNvPr>
        <xdr:cNvSpPr/>
      </xdr:nvSpPr>
      <xdr:spPr>
        <a:xfrm>
          <a:off x="19050" y="1266826"/>
          <a:ext cx="12220575" cy="381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editAs="oneCell">
    <xdr:from>
      <xdr:col>4</xdr:col>
      <xdr:colOff>476250</xdr:colOff>
      <xdr:row>2</xdr:row>
      <xdr:rowOff>114300</xdr:rowOff>
    </xdr:from>
    <xdr:to>
      <xdr:col>4</xdr:col>
      <xdr:colOff>662009</xdr:colOff>
      <xdr:row>2</xdr:row>
      <xdr:rowOff>300059</xdr:rowOff>
    </xdr:to>
    <xdr:pic>
      <xdr:nvPicPr>
        <xdr:cNvPr id="15" name="Рисунок 14">
          <a:extLst>
            <a:ext uri="{FF2B5EF4-FFF2-40B4-BE49-F238E27FC236}">
              <a16:creationId xmlns:a16="http://schemas.microsoft.com/office/drawing/2014/main" xmlns="" id="{00000000-0008-0000-0700-00000F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6953250" y="1390650"/>
          <a:ext cx="185759" cy="185759"/>
        </a:xfrm>
        <a:prstGeom prst="rect">
          <a:avLst/>
        </a:prstGeom>
      </xdr:spPr>
    </xdr:pic>
    <xdr:clientData/>
  </xdr:twoCellAnchor>
  <xdr:twoCellAnchor editAs="oneCell">
    <xdr:from>
      <xdr:col>1</xdr:col>
      <xdr:colOff>45721</xdr:colOff>
      <xdr:row>65</xdr:row>
      <xdr:rowOff>125730</xdr:rowOff>
    </xdr:from>
    <xdr:to>
      <xdr:col>13</xdr:col>
      <xdr:colOff>0</xdr:colOff>
      <xdr:row>69</xdr:row>
      <xdr:rowOff>30480</xdr:rowOff>
    </xdr:to>
    <xdr:pic>
      <xdr:nvPicPr>
        <xdr:cNvPr id="11" name="Рисунок 10">
          <a:extLst>
            <a:ext uri="{FF2B5EF4-FFF2-40B4-BE49-F238E27FC236}">
              <a16:creationId xmlns:a16="http://schemas.microsoft.com/office/drawing/2014/main" xmlns="" id="{00000000-0008-0000-0700-00000B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31446" y="16851630"/>
          <a:ext cx="12089129" cy="66675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xdr:col>
          <xdr:colOff>3762375</xdr:colOff>
          <xdr:row>5</xdr:row>
          <xdr:rowOff>76200</xdr:rowOff>
        </xdr:from>
        <xdr:to>
          <xdr:col>3</xdr:col>
          <xdr:colOff>0</xdr:colOff>
          <xdr:row>7</xdr:row>
          <xdr:rowOff>9525</xdr:rowOff>
        </xdr:to>
        <xdr:sp macro="" textlink="">
          <xdr:nvSpPr>
            <xdr:cNvPr id="26631" name="Check Box 7" hidden="1">
              <a:extLst>
                <a:ext uri="{63B3BB69-23CF-44E3-9099-C40C66FF867C}">
                  <a14:compatExt spid="_x0000_s26631"/>
                </a:ext>
                <a:ext uri="{FF2B5EF4-FFF2-40B4-BE49-F238E27FC236}">
                  <a16:creationId xmlns:a16="http://schemas.microsoft.com/office/drawing/2014/main" xmlns="" id="{00000000-0008-0000-0700-000007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66675</xdr:colOff>
      <xdr:row>57</xdr:row>
      <xdr:rowOff>117889</xdr:rowOff>
    </xdr:from>
    <xdr:to>
      <xdr:col>12</xdr:col>
      <xdr:colOff>95250</xdr:colOff>
      <xdr:row>65</xdr:row>
      <xdr:rowOff>10981</xdr:rowOff>
    </xdr:to>
    <xdr:pic>
      <xdr:nvPicPr>
        <xdr:cNvPr id="12" name="Рисунок 11">
          <a:extLst>
            <a:ext uri="{FF2B5EF4-FFF2-40B4-BE49-F238E27FC236}">
              <a16:creationId xmlns:a16="http://schemas.microsoft.com/office/drawing/2014/main" xmlns="" id="{00000000-0008-0000-0700-00000C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xdr:blipFill>
      <xdr:spPr>
        <a:xfrm>
          <a:off x="152400" y="15319789"/>
          <a:ext cx="12058650" cy="1417092"/>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66675</xdr:colOff>
      <xdr:row>2</xdr:row>
      <xdr:rowOff>3715</xdr:rowOff>
    </xdr:to>
    <xdr:pic>
      <xdr:nvPicPr>
        <xdr:cNvPr id="3" name="Рисунок 2">
          <a:hlinkClick xmlns:r="http://schemas.openxmlformats.org/officeDocument/2006/relationships" r:id="rId1"/>
          <a:extLst>
            <a:ext uri="{FF2B5EF4-FFF2-40B4-BE49-F238E27FC236}">
              <a16:creationId xmlns:a16="http://schemas.microsoft.com/office/drawing/2014/main" xmlns="" id="{00000000-0008-0000-0800-000003000000}"/>
            </a:ext>
          </a:extLst>
        </xdr:cNvPr>
        <xdr:cNvPicPr>
          <a:picLocks noChangeAspect="1"/>
        </xdr:cNvPicPr>
      </xdr:nvPicPr>
      <xdr:blipFill>
        <a:blip xmlns:r="http://schemas.openxmlformats.org/officeDocument/2006/relationships" r:embed="rId2"/>
        <a:stretch>
          <a:fillRect/>
        </a:stretch>
      </xdr:blipFill>
      <xdr:spPr>
        <a:xfrm>
          <a:off x="0" y="0"/>
          <a:ext cx="12531873" cy="126863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5</xdr:col>
          <xdr:colOff>47625</xdr:colOff>
          <xdr:row>5</xdr:row>
          <xdr:rowOff>66675</xdr:rowOff>
        </xdr:from>
        <xdr:to>
          <xdr:col>5</xdr:col>
          <xdr:colOff>371475</xdr:colOff>
          <xdr:row>7</xdr:row>
          <xdr:rowOff>19050</xdr:rowOff>
        </xdr:to>
        <xdr:sp macro="" textlink="">
          <xdr:nvSpPr>
            <xdr:cNvPr id="33794" name="Check Box 2" hidden="1">
              <a:extLst>
                <a:ext uri="{63B3BB69-23CF-44E3-9099-C40C66FF867C}">
                  <a14:compatExt spid="_x0000_s33794"/>
                </a:ext>
                <a:ext uri="{FF2B5EF4-FFF2-40B4-BE49-F238E27FC236}">
                  <a16:creationId xmlns:a16="http://schemas.microsoft.com/office/drawing/2014/main" xmlns="" id="{00000000-0008-0000-0800-000002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3</xdr:col>
      <xdr:colOff>1670685</xdr:colOff>
      <xdr:row>2</xdr:row>
      <xdr:rowOff>137160</xdr:rowOff>
    </xdr:from>
    <xdr:to>
      <xdr:col>4</xdr:col>
      <xdr:colOff>2244</xdr:colOff>
      <xdr:row>2</xdr:row>
      <xdr:rowOff>322919</xdr:rowOff>
    </xdr:to>
    <xdr:pic>
      <xdr:nvPicPr>
        <xdr:cNvPr id="11" name="Рисунок 10">
          <a:extLst>
            <a:ext uri="{FF2B5EF4-FFF2-40B4-BE49-F238E27FC236}">
              <a16:creationId xmlns:a16="http://schemas.microsoft.com/office/drawing/2014/main" xmlns="" id="{00000000-0008-0000-0800-00000B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8261985" y="1402080"/>
          <a:ext cx="185759" cy="185759"/>
        </a:xfrm>
        <a:prstGeom prst="rect">
          <a:avLst/>
        </a:prstGeom>
      </xdr:spPr>
    </xdr:pic>
    <xdr:clientData/>
  </xdr:twoCellAnchor>
  <xdr:twoCellAnchor>
    <xdr:from>
      <xdr:col>0</xdr:col>
      <xdr:colOff>0</xdr:colOff>
      <xdr:row>1</xdr:row>
      <xdr:rowOff>807720</xdr:rowOff>
    </xdr:from>
    <xdr:to>
      <xdr:col>6</xdr:col>
      <xdr:colOff>0</xdr:colOff>
      <xdr:row>2</xdr:row>
      <xdr:rowOff>108585</xdr:rowOff>
    </xdr:to>
    <xdr:sp macro="" textlink="">
      <xdr:nvSpPr>
        <xdr:cNvPr id="12" name="Прямоугольник 11">
          <a:hlinkClick xmlns:r="http://schemas.openxmlformats.org/officeDocument/2006/relationships" r:id="rId4"/>
          <a:extLst>
            <a:ext uri="{FF2B5EF4-FFF2-40B4-BE49-F238E27FC236}">
              <a16:creationId xmlns:a16="http://schemas.microsoft.com/office/drawing/2014/main" xmlns="" id="{00000000-0008-0000-0800-00000C000000}"/>
            </a:ext>
          </a:extLst>
        </xdr:cNvPr>
        <xdr:cNvSpPr/>
      </xdr:nvSpPr>
      <xdr:spPr>
        <a:xfrm>
          <a:off x="0" y="990600"/>
          <a:ext cx="12466320" cy="38290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1</xdr:col>
      <xdr:colOff>92869</xdr:colOff>
      <xdr:row>8</xdr:row>
      <xdr:rowOff>5362</xdr:rowOff>
    </xdr:from>
    <xdr:to>
      <xdr:col>1</xdr:col>
      <xdr:colOff>106179</xdr:colOff>
      <xdr:row>9</xdr:row>
      <xdr:rowOff>306449</xdr:rowOff>
    </xdr:to>
    <xdr:cxnSp macro="">
      <xdr:nvCxnSpPr>
        <xdr:cNvPr id="14" name="Прямая соединительная линия 13">
          <a:extLst>
            <a:ext uri="{FF2B5EF4-FFF2-40B4-BE49-F238E27FC236}">
              <a16:creationId xmlns:a16="http://schemas.microsoft.com/office/drawing/2014/main" xmlns="" id="{00000000-0008-0000-0800-00000E000000}"/>
            </a:ext>
          </a:extLst>
        </xdr:cNvPr>
        <xdr:cNvCxnSpPr/>
      </xdr:nvCxnSpPr>
      <xdr:spPr>
        <a:xfrm flipH="1">
          <a:off x="178594" y="3110512"/>
          <a:ext cx="13310" cy="824962"/>
        </a:xfrm>
        <a:prstGeom prst="line">
          <a:avLst/>
        </a:prstGeom>
        <a:ln w="19050">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2</xdr:col>
          <xdr:colOff>3914775</xdr:colOff>
          <xdr:row>5</xdr:row>
          <xdr:rowOff>57150</xdr:rowOff>
        </xdr:from>
        <xdr:to>
          <xdr:col>3</xdr:col>
          <xdr:colOff>0</xdr:colOff>
          <xdr:row>7</xdr:row>
          <xdr:rowOff>28575</xdr:rowOff>
        </xdr:to>
        <xdr:sp macro="" textlink="">
          <xdr:nvSpPr>
            <xdr:cNvPr id="33807" name="Check Box 15" hidden="1">
              <a:extLst>
                <a:ext uri="{63B3BB69-23CF-44E3-9099-C40C66FF867C}">
                  <a14:compatExt spid="_x0000_s33807"/>
                </a:ext>
                <a:ext uri="{FF2B5EF4-FFF2-40B4-BE49-F238E27FC236}">
                  <a16:creationId xmlns:a16="http://schemas.microsoft.com/office/drawing/2014/main" xmlns="" id="{00000000-0008-0000-0800-00000F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74295</xdr:colOff>
      <xdr:row>41</xdr:row>
      <xdr:rowOff>80009</xdr:rowOff>
    </xdr:from>
    <xdr:to>
      <xdr:col>2</xdr:col>
      <xdr:colOff>3943350</xdr:colOff>
      <xdr:row>84</xdr:row>
      <xdr:rowOff>142875</xdr:rowOff>
    </xdr:to>
    <xdr:sp macro="" textlink="">
      <xdr:nvSpPr>
        <xdr:cNvPr id="19" name="TextBox 18">
          <a:extLst>
            <a:ext uri="{FF2B5EF4-FFF2-40B4-BE49-F238E27FC236}">
              <a16:creationId xmlns:a16="http://schemas.microsoft.com/office/drawing/2014/main" xmlns="" id="{00000000-0008-0000-0800-000013000000}"/>
            </a:ext>
          </a:extLst>
        </xdr:cNvPr>
        <xdr:cNvSpPr txBox="1"/>
      </xdr:nvSpPr>
      <xdr:spPr>
        <a:xfrm>
          <a:off x="74295" y="15520034"/>
          <a:ext cx="6107430" cy="800671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ru-RU" sz="1100" b="1" i="0" u="none" strike="noStrike" baseline="0">
              <a:solidFill>
                <a:schemeClr val="dk1"/>
              </a:solidFill>
              <a:latin typeface="+mn-lt"/>
              <a:ea typeface="+mn-ea"/>
              <a:cs typeface="Arial" panose="020B0604020202020204" pitchFamily="34" charset="0"/>
            </a:rPr>
            <a:t>Шлюз безопасности </a:t>
          </a:r>
          <a:r>
            <a:rPr lang="en-US" sz="1100" b="1" i="0" u="none" strike="noStrike" baseline="0">
              <a:solidFill>
                <a:schemeClr val="dk1"/>
              </a:solidFill>
              <a:latin typeface="+mn-lt"/>
              <a:ea typeface="+mn-ea"/>
              <a:cs typeface="Arial" panose="020B0604020202020204" pitchFamily="34" charset="0"/>
            </a:rPr>
            <a:t>Web Application Firewall (WAF) Dallas Lock. </a:t>
          </a:r>
          <a:r>
            <a:rPr lang="ru-RU" sz="1100" b="1" i="0" u="none" strike="noStrike" baseline="0">
              <a:solidFill>
                <a:schemeClr val="dk1"/>
              </a:solidFill>
              <a:latin typeface="+mn-lt"/>
              <a:ea typeface="+mn-ea"/>
              <a:cs typeface="Arial" panose="020B0604020202020204" pitchFamily="34" charset="0"/>
            </a:rPr>
            <a:t>Право на использование</a:t>
          </a:r>
        </a:p>
        <a:p>
          <a:r>
            <a:rPr lang="en-US" sz="1100" b="0" i="0">
              <a:solidFill>
                <a:schemeClr val="dk1"/>
              </a:solidFill>
              <a:effectLst/>
              <a:latin typeface="+mn-lt"/>
              <a:ea typeface="+mn-ea"/>
              <a:cs typeface="+mn-cs"/>
            </a:rPr>
            <a:t>WAF Dallas Lock — </a:t>
          </a:r>
          <a:r>
            <a:rPr lang="ru-RU" sz="1100" b="0" i="0">
              <a:solidFill>
                <a:schemeClr val="dk1"/>
              </a:solidFill>
              <a:effectLst/>
              <a:latin typeface="+mn-lt"/>
              <a:ea typeface="+mn-ea"/>
              <a:cs typeface="+mn-cs"/>
            </a:rPr>
            <a:t>это межсетевой экран прикладного уровня, предназначенный для защиты веб-серверов от сетевых атак и нежелательного интернет-трафика, который предоставляет:</a:t>
          </a:r>
        </a:p>
        <a:p>
          <a:r>
            <a:rPr lang="ru-RU" sz="1100" b="0" i="0">
              <a:solidFill>
                <a:schemeClr val="dk1"/>
              </a:solidFill>
              <a:effectLst/>
              <a:latin typeface="+mn-lt"/>
              <a:ea typeface="+mn-ea"/>
              <a:cs typeface="+mn-cs"/>
            </a:rPr>
            <a:t>• защиту на прикладном уровне;</a:t>
          </a:r>
        </a:p>
        <a:p>
          <a:r>
            <a:rPr lang="ru-RU" sz="1100" b="0" i="0">
              <a:solidFill>
                <a:schemeClr val="dk1"/>
              </a:solidFill>
              <a:effectLst/>
              <a:latin typeface="+mn-lt"/>
              <a:ea typeface="+mn-ea"/>
              <a:cs typeface="+mn-cs"/>
            </a:rPr>
            <a:t>• защиту от угроз из списка </a:t>
          </a:r>
          <a:r>
            <a:rPr lang="en-US" sz="1100" b="0" i="0">
              <a:solidFill>
                <a:schemeClr val="dk1"/>
              </a:solidFill>
              <a:effectLst/>
              <a:latin typeface="+mn-lt"/>
              <a:ea typeface="+mn-ea"/>
              <a:cs typeface="+mn-cs"/>
            </a:rPr>
            <a:t>OWASP TOP 10;</a:t>
          </a:r>
        </a:p>
        <a:p>
          <a:r>
            <a:rPr lang="en-US" sz="1100" b="0" i="0">
              <a:solidFill>
                <a:schemeClr val="dk1"/>
              </a:solidFill>
              <a:effectLst/>
              <a:latin typeface="+mn-lt"/>
              <a:ea typeface="+mn-ea"/>
              <a:cs typeface="+mn-cs"/>
            </a:rPr>
            <a:t>• </a:t>
          </a:r>
          <a:r>
            <a:rPr lang="ru-RU" sz="1100" b="0" i="0">
              <a:solidFill>
                <a:schemeClr val="dk1"/>
              </a:solidFill>
              <a:effectLst/>
              <a:latin typeface="+mn-lt"/>
              <a:ea typeface="+mn-ea"/>
              <a:cs typeface="+mn-cs"/>
            </a:rPr>
            <a:t>анализ трафика веб-приложений, включая </a:t>
          </a:r>
          <a:r>
            <a:rPr lang="en-US" sz="1100" b="0" i="0">
              <a:solidFill>
                <a:schemeClr val="dk1"/>
              </a:solidFill>
              <a:effectLst/>
              <a:latin typeface="+mn-lt"/>
              <a:ea typeface="+mn-ea"/>
              <a:cs typeface="+mn-cs"/>
            </a:rPr>
            <a:t>XML-API </a:t>
          </a:r>
          <a:r>
            <a:rPr lang="ru-RU" sz="1100" b="0" i="0">
              <a:solidFill>
                <a:schemeClr val="dk1"/>
              </a:solidFill>
              <a:effectLst/>
              <a:latin typeface="+mn-lt"/>
              <a:ea typeface="+mn-ea"/>
              <a:cs typeface="+mn-cs"/>
            </a:rPr>
            <a:t>и </a:t>
          </a:r>
          <a:r>
            <a:rPr lang="en-US" sz="1100" b="0" i="0">
              <a:solidFill>
                <a:schemeClr val="dk1"/>
              </a:solidFill>
              <a:effectLst/>
              <a:latin typeface="+mn-lt"/>
              <a:ea typeface="+mn-ea"/>
              <a:cs typeface="+mn-cs"/>
            </a:rPr>
            <a:t>JSON, </a:t>
          </a:r>
          <a:r>
            <a:rPr lang="ru-RU" sz="1100" b="0" i="0">
              <a:solidFill>
                <a:schemeClr val="dk1"/>
              </a:solidFill>
              <a:effectLst/>
              <a:latin typeface="+mn-lt"/>
              <a:ea typeface="+mn-ea"/>
              <a:cs typeface="+mn-cs"/>
            </a:rPr>
            <a:t>а также поддержку протоколов </a:t>
          </a:r>
          <a:r>
            <a:rPr lang="en-US" sz="1100" b="0" i="0">
              <a:solidFill>
                <a:schemeClr val="dk1"/>
              </a:solidFill>
              <a:effectLst/>
              <a:latin typeface="+mn-lt"/>
              <a:ea typeface="+mn-ea"/>
              <a:cs typeface="+mn-cs"/>
            </a:rPr>
            <a:t>HTTP/2 </a:t>
          </a:r>
          <a:r>
            <a:rPr lang="ru-RU" sz="1100" b="0" i="0">
              <a:solidFill>
                <a:schemeClr val="dk1"/>
              </a:solidFill>
              <a:effectLst/>
              <a:latin typeface="+mn-lt"/>
              <a:ea typeface="+mn-ea"/>
              <a:cs typeface="+mn-cs"/>
            </a:rPr>
            <a:t>и </a:t>
          </a:r>
          <a:r>
            <a:rPr lang="en-US" sz="1100" b="0" i="0">
              <a:solidFill>
                <a:schemeClr val="dk1"/>
              </a:solidFill>
              <a:effectLst/>
              <a:latin typeface="+mn-lt"/>
              <a:ea typeface="+mn-ea"/>
              <a:cs typeface="+mn-cs"/>
            </a:rPr>
            <a:t>HTTP/3 </a:t>
          </a:r>
          <a:r>
            <a:rPr lang="ru-RU" sz="1100" b="0" i="0">
              <a:solidFill>
                <a:schemeClr val="dk1"/>
              </a:solidFill>
              <a:effectLst/>
              <a:latin typeface="+mn-lt"/>
              <a:ea typeface="+mn-ea"/>
              <a:cs typeface="+mn-cs"/>
            </a:rPr>
            <a:t>и инспекцию </a:t>
          </a:r>
          <a:r>
            <a:rPr lang="en-US" sz="1100" b="0" i="0">
              <a:solidFill>
                <a:schemeClr val="dk1"/>
              </a:solidFill>
              <a:effectLst/>
              <a:latin typeface="+mn-lt"/>
              <a:ea typeface="+mn-ea"/>
              <a:cs typeface="+mn-cs"/>
            </a:rPr>
            <a:t>SSL/TLS;</a:t>
          </a:r>
        </a:p>
        <a:p>
          <a:r>
            <a:rPr lang="en-US" sz="1100" b="0" i="0">
              <a:solidFill>
                <a:schemeClr val="dk1"/>
              </a:solidFill>
              <a:effectLst/>
              <a:latin typeface="+mn-lt"/>
              <a:ea typeface="+mn-ea"/>
              <a:cs typeface="+mn-cs"/>
            </a:rPr>
            <a:t>• </a:t>
          </a:r>
          <a:r>
            <a:rPr lang="ru-RU" sz="1100" b="0" i="0">
              <a:solidFill>
                <a:schemeClr val="dk1"/>
              </a:solidFill>
              <a:effectLst/>
              <a:latin typeface="+mn-lt"/>
              <a:ea typeface="+mn-ea"/>
              <a:cs typeface="+mn-cs"/>
            </a:rPr>
            <a:t>возможность отображения нагрузки на информационные ресурсы компании;</a:t>
          </a:r>
        </a:p>
        <a:p>
          <a:r>
            <a:rPr lang="ru-RU" sz="1100" b="0" i="0">
              <a:solidFill>
                <a:schemeClr val="dk1"/>
              </a:solidFill>
              <a:effectLst/>
              <a:latin typeface="+mn-lt"/>
              <a:ea typeface="+mn-ea"/>
              <a:cs typeface="+mn-cs"/>
            </a:rPr>
            <a:t>• гибкую настройку правил и политик фильтрации трафика;</a:t>
          </a:r>
        </a:p>
        <a:p>
          <a:r>
            <a:rPr lang="ru-RU" sz="1100" b="0" i="0">
              <a:solidFill>
                <a:schemeClr val="dk1"/>
              </a:solidFill>
              <a:effectLst/>
              <a:latin typeface="+mn-lt"/>
              <a:ea typeface="+mn-ea"/>
              <a:cs typeface="+mn-cs"/>
            </a:rPr>
            <a:t>• централизованный мониторинг и управление защитой нескольких веб-приложений из единой консоли;</a:t>
          </a:r>
        </a:p>
        <a:p>
          <a:r>
            <a:rPr lang="ru-RU" sz="1100" b="0" i="0">
              <a:solidFill>
                <a:schemeClr val="dk1"/>
              </a:solidFill>
              <a:effectLst/>
              <a:latin typeface="+mn-lt"/>
              <a:ea typeface="+mn-ea"/>
              <a:cs typeface="+mn-cs"/>
            </a:rPr>
            <a:t>• журналирование инцидентов информационной безопасности;</a:t>
          </a:r>
        </a:p>
        <a:p>
          <a:r>
            <a:rPr lang="ru-RU" sz="1100" b="0" i="0">
              <a:solidFill>
                <a:schemeClr val="dk1"/>
              </a:solidFill>
              <a:effectLst/>
              <a:latin typeface="+mn-lt"/>
              <a:ea typeface="+mn-ea"/>
              <a:cs typeface="+mn-cs"/>
            </a:rPr>
            <a:t>• эргономичный графический интерфейс для управления настройками и мониторинга;</a:t>
          </a:r>
        </a:p>
        <a:p>
          <a:r>
            <a:rPr lang="ru-RU" sz="1100" b="0" i="0">
              <a:solidFill>
                <a:schemeClr val="dk1"/>
              </a:solidFill>
              <a:effectLst/>
              <a:latin typeface="+mn-lt"/>
              <a:ea typeface="+mn-ea"/>
              <a:cs typeface="+mn-cs"/>
            </a:rPr>
            <a:t>• оповещение об инцидентах безопасности.</a:t>
          </a:r>
        </a:p>
        <a:p>
          <a:endParaRPr lang="ru-RU" sz="1100" b="1" i="0" baseline="0">
            <a:solidFill>
              <a:schemeClr val="dk1"/>
            </a:solidFill>
            <a:effectLst/>
            <a:latin typeface="+mn-lt"/>
            <a:ea typeface="+mn-ea"/>
            <a:cs typeface="+mn-cs"/>
          </a:endParaRPr>
        </a:p>
        <a:p>
          <a:r>
            <a:rPr lang="ru-RU" sz="1100" b="1" i="0" baseline="0">
              <a:solidFill>
                <a:sysClr val="windowText" lastClr="000000"/>
              </a:solidFill>
              <a:effectLst/>
              <a:latin typeface="+mn-lt"/>
              <a:ea typeface="+mn-ea"/>
              <a:cs typeface="+mn-cs"/>
            </a:rPr>
            <a:t>Шлюз безопасности </a:t>
          </a:r>
          <a:r>
            <a:rPr lang="en-US" sz="1100" b="1" i="0" baseline="0">
              <a:solidFill>
                <a:sysClr val="windowText" lastClr="000000"/>
              </a:solidFill>
              <a:effectLst/>
              <a:latin typeface="+mn-lt"/>
              <a:ea typeface="+mn-ea"/>
              <a:cs typeface="+mn-cs"/>
            </a:rPr>
            <a:t>WAF Dallas Lock. </a:t>
          </a:r>
          <a:r>
            <a:rPr lang="ru-RU" sz="1100" b="1" i="0" baseline="0">
              <a:solidFill>
                <a:sysClr val="windowText" lastClr="000000"/>
              </a:solidFill>
              <a:effectLst/>
              <a:latin typeface="+mn-lt"/>
              <a:ea typeface="+mn-ea"/>
              <a:cs typeface="+mn-cs"/>
            </a:rPr>
            <a:t>Ограниченная комплектация только МЭ/СОВ</a:t>
          </a:r>
          <a:endParaRPr lang="ru-RU">
            <a:solidFill>
              <a:sysClr val="windowText" lastClr="000000"/>
            </a:solidFill>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ru-RU" sz="1100" b="0" i="0">
              <a:solidFill>
                <a:schemeClr val="dk1"/>
              </a:solidFill>
              <a:effectLst/>
              <a:latin typeface="+mn-lt"/>
              <a:ea typeface="+mn-ea"/>
              <a:cs typeface="+mn-cs"/>
            </a:rPr>
            <a:t>В данной комплектации активны функции межсетевого экрана (МЭ) и системы обнаружения вторжений (СОВ); функции защиты веб-приложений отключены. </a:t>
          </a:r>
          <a:endParaRPr lang="en-US" sz="1100" b="0" i="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ru-RU" sz="1100" b="0" i="0">
              <a:solidFill>
                <a:schemeClr val="dk1"/>
              </a:solidFill>
              <a:effectLst/>
              <a:latin typeface="+mn-lt"/>
              <a:ea typeface="+mn-ea"/>
              <a:cs typeface="+mn-cs"/>
            </a:rPr>
            <a:t>Сценарии применения: самостоятельный МЭ и СОВ на входе в замкнутый контур </a:t>
          </a:r>
          <a:endParaRPr lang="en-US" sz="1100" b="0" i="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ru-RU" sz="1100" b="0" i="0">
              <a:solidFill>
                <a:schemeClr val="dk1"/>
              </a:solidFill>
              <a:effectLst/>
              <a:latin typeface="+mn-lt"/>
              <a:ea typeface="+mn-ea"/>
              <a:cs typeface="+mn-cs"/>
            </a:rPr>
            <a:t>(пример: защита сегмента с серверами, где нет веб-приложений; шлюз обеспечивает контроль трафика на границе и обнаружение вторжений одной покупкой); </a:t>
          </a:r>
          <a:endParaRPr lang="en-US" sz="1100" b="0" i="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ru-RU" sz="1100" b="0" i="0">
              <a:solidFill>
                <a:schemeClr val="dk1"/>
              </a:solidFill>
              <a:effectLst/>
              <a:latin typeface="+mn-lt"/>
              <a:ea typeface="+mn-ea"/>
              <a:cs typeface="+mn-cs"/>
            </a:rPr>
            <a:t>Дополнительная функциональность версии с МЭ/СОВ включает:</a:t>
          </a:r>
        </a:p>
        <a:p>
          <a:r>
            <a:rPr lang="ru-RU" sz="1100" b="0" i="0">
              <a:solidFill>
                <a:schemeClr val="dk1"/>
              </a:solidFill>
              <a:effectLst/>
              <a:latin typeface="+mn-lt"/>
              <a:ea typeface="+mn-ea"/>
              <a:cs typeface="+mn-cs"/>
            </a:rPr>
            <a:t>• защиту на трех уровнях: транспортном, сетевом и прикладном;</a:t>
          </a:r>
        </a:p>
        <a:p>
          <a:r>
            <a:rPr lang="ru-RU" sz="1100" b="0" i="0">
              <a:solidFill>
                <a:schemeClr val="dk1"/>
              </a:solidFill>
              <a:effectLst/>
              <a:latin typeface="+mn-lt"/>
              <a:ea typeface="+mn-ea"/>
              <a:cs typeface="+mn-cs"/>
            </a:rPr>
            <a:t>• использование межсетевого экрана для контроля трафика на уровне логических границ сети;</a:t>
          </a:r>
        </a:p>
        <a:p>
          <a:r>
            <a:rPr lang="ru-RU" sz="1100" b="0" i="0">
              <a:solidFill>
                <a:schemeClr val="dk1"/>
              </a:solidFill>
              <a:effectLst/>
              <a:latin typeface="+mn-lt"/>
              <a:ea typeface="+mn-ea"/>
              <a:cs typeface="+mn-cs"/>
            </a:rPr>
            <a:t>• систему обнаружения вторжений на сетевом уровне.</a:t>
          </a:r>
        </a:p>
        <a:p>
          <a:endParaRPr lang="ru-RU">
            <a:solidFill>
              <a:sysClr val="windowText" lastClr="000000"/>
            </a:solidFill>
            <a:effectLst/>
          </a:endParaRPr>
        </a:p>
        <a:p>
          <a:r>
            <a:rPr lang="ru-RU" sz="1100" b="1" i="0" baseline="0">
              <a:solidFill>
                <a:schemeClr val="dk1"/>
              </a:solidFill>
              <a:effectLst/>
              <a:latin typeface="+mn-lt"/>
              <a:ea typeface="+mn-ea"/>
              <a:cs typeface="+mn-cs"/>
            </a:rPr>
            <a:t>Шлюз безопасности </a:t>
          </a:r>
          <a:r>
            <a:rPr lang="en-US" sz="1100" b="1" i="0" baseline="0">
              <a:solidFill>
                <a:schemeClr val="dk1"/>
              </a:solidFill>
              <a:effectLst/>
              <a:latin typeface="+mn-lt"/>
              <a:ea typeface="+mn-ea"/>
              <a:cs typeface="+mn-cs"/>
            </a:rPr>
            <a:t>WAF Dallas Lock. </a:t>
          </a:r>
          <a:r>
            <a:rPr lang="ru-RU" sz="1100" b="1" i="0" baseline="0">
              <a:solidFill>
                <a:schemeClr val="dk1"/>
              </a:solidFill>
              <a:effectLst/>
              <a:latin typeface="+mn-lt"/>
              <a:ea typeface="+mn-ea"/>
              <a:cs typeface="+mn-cs"/>
            </a:rPr>
            <a:t>Расширенная комплектация для построения отказоустойчивого кластера</a:t>
          </a:r>
          <a:r>
            <a:rPr lang="ru-RU" sz="1100" b="0" i="0" baseline="0">
              <a:solidFill>
                <a:schemeClr val="dk1"/>
              </a:solidFill>
              <a:effectLst/>
              <a:latin typeface="+mn-lt"/>
              <a:ea typeface="+mn-ea"/>
              <a:cs typeface="+mn-cs"/>
            </a:rPr>
            <a:t>. </a:t>
          </a:r>
          <a:r>
            <a:rPr lang="ru-RU" sz="1100" b="0" i="0">
              <a:solidFill>
                <a:schemeClr val="dk1"/>
              </a:solidFill>
              <a:effectLst/>
              <a:latin typeface="+mn-lt"/>
              <a:ea typeface="+mn-ea"/>
              <a:cs typeface="+mn-cs"/>
            </a:rPr>
            <a:t>В расширенной комплектации возможно формирование отказоустойчивого кластера из нескольких копий изделия.</a:t>
          </a:r>
          <a:r>
            <a:rPr lang="ru-RU" sz="1100" b="0" i="0" baseline="0">
              <a:solidFill>
                <a:schemeClr val="dk1"/>
              </a:solidFill>
              <a:effectLst/>
              <a:latin typeface="+mn-lt"/>
              <a:ea typeface="+mn-ea"/>
              <a:cs typeface="+mn-cs"/>
            </a:rPr>
            <a:t> </a:t>
          </a:r>
          <a:r>
            <a:rPr lang="ru-RU" sz="1100" b="0" i="0">
              <a:solidFill>
                <a:schemeClr val="dk1"/>
              </a:solidFill>
              <a:effectLst/>
              <a:latin typeface="+mn-lt"/>
              <a:ea typeface="+mn-ea"/>
              <a:cs typeface="+mn-cs"/>
            </a:rPr>
            <a:t>Для организации отказоустойчивого кластера необходим активный и резервный узел.</a:t>
          </a:r>
        </a:p>
        <a:p>
          <a:endParaRPr lang="ru-RU">
            <a:effectLst/>
          </a:endParaRPr>
        </a:p>
        <a:p>
          <a:r>
            <a:rPr lang="ru-RU" sz="1100" b="1" i="0" baseline="0">
              <a:solidFill>
                <a:schemeClr val="dk1"/>
              </a:solidFill>
              <a:effectLst/>
              <a:latin typeface="+mn-lt"/>
              <a:ea typeface="+mn-ea"/>
              <a:cs typeface="+mn-cs"/>
            </a:rPr>
            <a:t>Пропускная способность Шлюза безопасности </a:t>
          </a:r>
          <a:r>
            <a:rPr lang="en-US" sz="1100" b="1" i="0" baseline="0">
              <a:solidFill>
                <a:schemeClr val="dk1"/>
              </a:solidFill>
              <a:effectLst/>
              <a:latin typeface="+mn-lt"/>
              <a:ea typeface="+mn-ea"/>
              <a:cs typeface="+mn-cs"/>
            </a:rPr>
            <a:t>WAF Dallas Lock</a:t>
          </a:r>
          <a:endParaRPr lang="ru-RU">
            <a:effectLst/>
          </a:endParaRPr>
        </a:p>
        <a:p>
          <a:r>
            <a:rPr lang="ru-RU" sz="1100" b="0" i="0" baseline="0">
              <a:solidFill>
                <a:schemeClr val="dk1"/>
              </a:solidFill>
              <a:effectLst/>
              <a:latin typeface="+mn-lt"/>
              <a:ea typeface="+mn-ea"/>
              <a:cs typeface="+mn-cs"/>
            </a:rPr>
            <a:t>При отсутствии ограничений на пропускную способность на стороне защищаемого ресурса изделие </a:t>
          </a:r>
          <a:r>
            <a:rPr lang="en-US" sz="1100" b="0" i="0" baseline="0">
              <a:solidFill>
                <a:schemeClr val="dk1"/>
              </a:solidFill>
              <a:effectLst/>
              <a:latin typeface="+mn-lt"/>
              <a:ea typeface="+mn-ea"/>
              <a:cs typeface="+mn-cs"/>
            </a:rPr>
            <a:t>WAF Dallas Lock</a:t>
          </a:r>
          <a:r>
            <a:rPr lang="ru-RU" sz="1100" b="0" i="0" baseline="0">
              <a:solidFill>
                <a:schemeClr val="dk1"/>
              </a:solidFill>
              <a:effectLst/>
              <a:latin typeface="+mn-lt"/>
              <a:ea typeface="+mn-ea"/>
              <a:cs typeface="+mn-cs"/>
            </a:rPr>
            <a:t> обеспечивает установленную пропускную способность, измеряемую в запросах в секунду (</a:t>
          </a:r>
          <a:r>
            <a:rPr lang="en-US" sz="1100" b="0" i="0" baseline="0">
              <a:solidFill>
                <a:schemeClr val="dk1"/>
              </a:solidFill>
              <a:effectLst/>
              <a:latin typeface="+mn-lt"/>
              <a:ea typeface="+mn-ea"/>
              <a:cs typeface="+mn-cs"/>
            </a:rPr>
            <a:t>rps)</a:t>
          </a:r>
          <a:r>
            <a:rPr lang="ru-RU" sz="1100" b="0" i="0" baseline="0">
              <a:solidFill>
                <a:schemeClr val="dk1"/>
              </a:solidFill>
              <a:effectLst/>
              <a:latin typeface="+mn-lt"/>
              <a:ea typeface="+mn-ea"/>
              <a:cs typeface="+mn-cs"/>
            </a:rPr>
            <a:t>: до 1000 </a:t>
          </a:r>
          <a:r>
            <a:rPr lang="en-US" sz="1100" b="0" i="0" baseline="0">
              <a:solidFill>
                <a:schemeClr val="dk1"/>
              </a:solidFill>
              <a:effectLst/>
              <a:latin typeface="+mn-lt"/>
              <a:ea typeface="+mn-ea"/>
              <a:cs typeface="+mn-cs"/>
            </a:rPr>
            <a:t>rps </a:t>
          </a:r>
          <a:r>
            <a:rPr lang="ru-RU" sz="1100" b="0" i="0" baseline="0">
              <a:solidFill>
                <a:schemeClr val="dk1"/>
              </a:solidFill>
              <a:effectLst/>
              <a:latin typeface="+mn-lt"/>
              <a:ea typeface="+mn-ea"/>
              <a:cs typeface="+mn-cs"/>
            </a:rPr>
            <a:t>(</a:t>
          </a:r>
          <a:r>
            <a:rPr lang="en-US" sz="1100" b="1" i="0" baseline="0">
              <a:solidFill>
                <a:schemeClr val="dk1"/>
              </a:solidFill>
              <a:effectLst/>
              <a:latin typeface="+mn-lt"/>
              <a:ea typeface="+mn-ea"/>
              <a:cs typeface="+mn-cs"/>
            </a:rPr>
            <a:t>x=1</a:t>
          </a:r>
          <a:r>
            <a:rPr lang="en-US" sz="1100" b="0" i="0" baseline="0">
              <a:solidFill>
                <a:schemeClr val="dk1"/>
              </a:solidFill>
              <a:effectLst/>
              <a:latin typeface="+mn-lt"/>
              <a:ea typeface="+mn-ea"/>
              <a:cs typeface="+mn-cs"/>
            </a:rPr>
            <a:t>)</a:t>
          </a:r>
          <a:r>
            <a:rPr lang="ru-RU" sz="1100" b="0" i="0" baseline="0">
              <a:solidFill>
                <a:schemeClr val="dk1"/>
              </a:solidFill>
              <a:effectLst/>
              <a:latin typeface="+mn-lt"/>
              <a:ea typeface="+mn-ea"/>
              <a:cs typeface="+mn-cs"/>
            </a:rPr>
            <a:t>, до 3000 </a:t>
          </a:r>
          <a:r>
            <a:rPr lang="en-US" sz="1100" b="0" i="0" baseline="0">
              <a:solidFill>
                <a:schemeClr val="dk1"/>
              </a:solidFill>
              <a:effectLst/>
              <a:latin typeface="+mn-lt"/>
              <a:ea typeface="+mn-ea"/>
              <a:cs typeface="+mn-cs"/>
            </a:rPr>
            <a:t>rps (</a:t>
          </a:r>
          <a:r>
            <a:rPr lang="en-US" sz="1100" b="1" i="0" baseline="0">
              <a:solidFill>
                <a:schemeClr val="dk1"/>
              </a:solidFill>
              <a:effectLst/>
              <a:latin typeface="+mn-lt"/>
              <a:ea typeface="+mn-ea"/>
              <a:cs typeface="+mn-cs"/>
            </a:rPr>
            <a:t>x=3</a:t>
          </a:r>
          <a:r>
            <a:rPr lang="en-US" sz="1100" b="0" i="0" baseline="0">
              <a:solidFill>
                <a:schemeClr val="dk1"/>
              </a:solidFill>
              <a:effectLst/>
              <a:latin typeface="+mn-lt"/>
              <a:ea typeface="+mn-ea"/>
              <a:cs typeface="+mn-cs"/>
            </a:rPr>
            <a:t>),</a:t>
          </a:r>
          <a:r>
            <a:rPr lang="ru-RU" sz="1100" b="0" i="0" baseline="0">
              <a:solidFill>
                <a:schemeClr val="dk1"/>
              </a:solidFill>
              <a:effectLst/>
              <a:latin typeface="+mn-lt"/>
              <a:ea typeface="+mn-ea"/>
              <a:cs typeface="+mn-cs"/>
            </a:rPr>
            <a:t> без ограничений(</a:t>
          </a:r>
          <a:r>
            <a:rPr lang="en-US" sz="1100" b="1" i="0" baseline="0">
              <a:solidFill>
                <a:schemeClr val="dk1"/>
              </a:solidFill>
              <a:effectLst/>
              <a:latin typeface="+mn-lt"/>
              <a:ea typeface="+mn-ea"/>
              <a:cs typeface="+mn-cs"/>
            </a:rPr>
            <a:t>x=5</a:t>
          </a:r>
          <a:r>
            <a:rPr lang="en-US" sz="1100" b="0" i="0" baseline="0">
              <a:solidFill>
                <a:schemeClr val="dk1"/>
              </a:solidFill>
              <a:effectLst/>
              <a:latin typeface="+mn-lt"/>
              <a:ea typeface="+mn-ea"/>
              <a:cs typeface="+mn-cs"/>
            </a:rPr>
            <a:t>).</a:t>
          </a:r>
        </a:p>
        <a:p>
          <a:endParaRPr lang="en-US" sz="1100" b="0" i="0" baseline="0">
            <a:solidFill>
              <a:schemeClr val="dk1"/>
            </a:solidFill>
            <a:effectLst/>
            <a:latin typeface="+mn-lt"/>
            <a:ea typeface="+mn-ea"/>
            <a:cs typeface="+mn-cs"/>
          </a:endParaRPr>
        </a:p>
        <a:p>
          <a:pPr eaLnBrk="1" fontAlgn="auto" latinLnBrk="0" hangingPunct="1"/>
          <a:r>
            <a:rPr lang="ru-RU" sz="1100" b="1" i="0" baseline="0">
              <a:solidFill>
                <a:schemeClr val="dk1"/>
              </a:solidFill>
              <a:effectLst/>
              <a:latin typeface="+mn-lt"/>
              <a:ea typeface="+mn-ea"/>
              <a:cs typeface="+mn-cs"/>
            </a:rPr>
            <a:t>Шлюз безопасности </a:t>
          </a:r>
          <a:r>
            <a:rPr lang="en-US" sz="1100" b="1" i="0" baseline="0">
              <a:solidFill>
                <a:schemeClr val="dk1"/>
              </a:solidFill>
              <a:effectLst/>
              <a:latin typeface="+mn-lt"/>
              <a:ea typeface="+mn-ea"/>
              <a:cs typeface="+mn-cs"/>
            </a:rPr>
            <a:t>WAF Dallas Lock. </a:t>
          </a:r>
          <a:r>
            <a:rPr lang="ru-RU" sz="1100" b="1" i="0" baseline="0">
              <a:solidFill>
                <a:schemeClr val="dk1"/>
              </a:solidFill>
              <a:effectLst/>
              <a:latin typeface="+mn-lt"/>
              <a:ea typeface="+mn-ea"/>
              <a:cs typeface="+mn-cs"/>
            </a:rPr>
            <a:t>Электронная дистрибуция</a:t>
          </a:r>
          <a:endParaRPr lang="en-US" sz="1100" b="1" i="0" baseline="0">
            <a:solidFill>
              <a:schemeClr val="dk1"/>
            </a:solidFill>
            <a:effectLst/>
            <a:latin typeface="+mn-lt"/>
            <a:ea typeface="+mn-ea"/>
            <a:cs typeface="+mn-cs"/>
          </a:endParaRPr>
        </a:p>
        <a:p>
          <a:r>
            <a:rPr lang="ru-RU" sz="1100" b="0" i="0">
              <a:solidFill>
                <a:schemeClr val="dk1"/>
              </a:solidFill>
              <a:effectLst/>
              <a:latin typeface="+mn-lt"/>
              <a:ea typeface="+mn-ea"/>
              <a:cs typeface="+mn-cs"/>
            </a:rPr>
            <a:t>С 1 сентября 2025 года стартовала</a:t>
          </a:r>
          <a:r>
            <a:rPr lang="ru-RU" sz="1100" b="0" i="0" baseline="0">
              <a:solidFill>
                <a:schemeClr val="dk1"/>
              </a:solidFill>
              <a:effectLst/>
              <a:latin typeface="+mn-lt"/>
              <a:ea typeface="+mn-ea"/>
              <a:cs typeface="+mn-cs"/>
            </a:rPr>
            <a:t> </a:t>
          </a:r>
          <a:r>
            <a:rPr lang="ru-RU" sz="1100" b="0" i="0">
              <a:solidFill>
                <a:schemeClr val="dk1"/>
              </a:solidFill>
              <a:effectLst/>
              <a:latin typeface="+mn-lt"/>
              <a:ea typeface="+mn-ea"/>
              <a:cs typeface="+mn-cs"/>
            </a:rPr>
            <a:t>электронная дистрибуция</a:t>
          </a:r>
          <a:r>
            <a:rPr lang="ru-RU" sz="1100" b="0" i="0" baseline="0">
              <a:solidFill>
                <a:schemeClr val="dk1"/>
              </a:solidFill>
              <a:effectLst/>
              <a:latin typeface="+mn-lt"/>
              <a:ea typeface="+mn-ea"/>
              <a:cs typeface="+mn-cs"/>
            </a:rPr>
            <a:t> </a:t>
          </a:r>
          <a:r>
            <a:rPr lang="en-US" sz="1100" b="0" i="0">
              <a:solidFill>
                <a:schemeClr val="dk1"/>
              </a:solidFill>
              <a:effectLst/>
              <a:latin typeface="+mn-lt"/>
              <a:ea typeface="+mn-ea"/>
              <a:cs typeface="+mn-cs"/>
            </a:rPr>
            <a:t>—</a:t>
          </a:r>
          <a:r>
            <a:rPr lang="ru-RU" sz="1100" b="0" i="0">
              <a:solidFill>
                <a:schemeClr val="dk1"/>
              </a:solidFill>
              <a:effectLst/>
              <a:latin typeface="+mn-lt"/>
              <a:ea typeface="+mn-ea"/>
              <a:cs typeface="+mn-cs"/>
            </a:rPr>
            <a:t> это возможность скачивать необходимые документы и дистрибутивы в личном</a:t>
          </a:r>
          <a:r>
            <a:rPr lang="ru-RU" sz="1100" b="0" i="0" baseline="0">
              <a:solidFill>
                <a:schemeClr val="dk1"/>
              </a:solidFill>
              <a:effectLst/>
              <a:latin typeface="+mn-lt"/>
              <a:ea typeface="+mn-ea"/>
              <a:cs typeface="+mn-cs"/>
            </a:rPr>
            <a:t> кабинете </a:t>
          </a:r>
          <a:r>
            <a:rPr lang="ru-RU" sz="1100" b="0" i="0">
              <a:solidFill>
                <a:schemeClr val="dk1"/>
              </a:solidFill>
              <a:effectLst/>
              <a:latin typeface="+mn-lt"/>
              <a:ea typeface="+mn-ea"/>
              <a:cs typeface="+mn-cs"/>
            </a:rPr>
            <a:t>пользователя на</a:t>
          </a:r>
          <a:r>
            <a:rPr lang="ru-RU" sz="1100" b="0" i="0" baseline="0">
              <a:solidFill>
                <a:schemeClr val="dk1"/>
              </a:solidFill>
              <a:effectLst/>
              <a:latin typeface="+mn-lt"/>
              <a:ea typeface="+mn-ea"/>
              <a:cs typeface="+mn-cs"/>
            </a:rPr>
            <a:t> </a:t>
          </a:r>
          <a:r>
            <a:rPr lang="ru-RU" sz="1100" b="0" i="0">
              <a:solidFill>
                <a:schemeClr val="dk1"/>
              </a:solidFill>
              <a:effectLst/>
              <a:latin typeface="+mn-lt"/>
              <a:ea typeface="+mn-ea"/>
              <a:cs typeface="+mn-cs"/>
            </a:rPr>
            <a:t>сайте </a:t>
          </a:r>
          <a:r>
            <a:rPr lang="en-US" sz="1100" b="0" i="0">
              <a:solidFill>
                <a:schemeClr val="dk1"/>
              </a:solidFill>
              <a:effectLst/>
              <a:latin typeface="+mn-lt"/>
              <a:ea typeface="+mn-ea"/>
              <a:cs typeface="+mn-cs"/>
            </a:rPr>
            <a:t>www.dallaslock.ru </a:t>
          </a:r>
          <a:r>
            <a:rPr lang="ru-RU" sz="1100" b="0" i="0">
              <a:solidFill>
                <a:schemeClr val="dk1"/>
              </a:solidFill>
              <a:effectLst/>
              <a:latin typeface="+mn-lt"/>
              <a:ea typeface="+mn-ea"/>
              <a:cs typeface="+mn-cs"/>
            </a:rPr>
            <a:t>или воспользоваться ссылками для скачивания в момент активации лицензий. Возможность приобретать физические дистрибутивы сохраняется.</a:t>
          </a:r>
          <a:endParaRPr lang="en-US" sz="1100" b="0" i="0">
            <a:solidFill>
              <a:schemeClr val="dk1"/>
            </a:solidFill>
            <a:effectLst/>
            <a:latin typeface="+mn-lt"/>
            <a:ea typeface="+mn-ea"/>
            <a:cs typeface="+mn-cs"/>
          </a:endParaRPr>
        </a:p>
        <a:p>
          <a:endParaRPr lang="ru-RU">
            <a:effectLst/>
          </a:endParaRPr>
        </a:p>
        <a:p>
          <a:pPr eaLnBrk="1" fontAlgn="auto" latinLnBrk="0" hangingPunct="1"/>
          <a:r>
            <a:rPr lang="ru-RU" sz="1100" b="1" i="0" baseline="0">
              <a:solidFill>
                <a:schemeClr val="dk1"/>
              </a:solidFill>
              <a:effectLst/>
              <a:latin typeface="+mn-lt"/>
              <a:ea typeface="+mn-ea"/>
              <a:cs typeface="+mn-cs"/>
            </a:rPr>
            <a:t>Комплект поставки (возможна электронная поставка)</a:t>
          </a:r>
          <a:endParaRPr lang="ru-RU">
            <a:effectLst/>
          </a:endParaRPr>
        </a:p>
        <a:p>
          <a:pPr eaLnBrk="1" fontAlgn="auto" latinLnBrk="0" hangingPunct="1"/>
          <a:r>
            <a:rPr lang="ru-RU" sz="1100" b="0" i="0" baseline="0">
              <a:solidFill>
                <a:schemeClr val="dk1"/>
              </a:solidFill>
              <a:effectLst/>
              <a:latin typeface="+mn-lt"/>
              <a:ea typeface="+mn-ea"/>
              <a:cs typeface="+mn-cs"/>
            </a:rPr>
            <a:t>Компакт-диск с ПО </a:t>
          </a:r>
          <a:r>
            <a:rPr lang="en-US" sz="1100" b="0" i="0" baseline="0">
              <a:solidFill>
                <a:schemeClr val="dk1"/>
              </a:solidFill>
              <a:effectLst/>
              <a:latin typeface="+mn-lt"/>
              <a:ea typeface="+mn-ea"/>
              <a:cs typeface="+mn-cs"/>
            </a:rPr>
            <a:t>WAF</a:t>
          </a:r>
          <a:r>
            <a:rPr lang="ru-RU" sz="1100" b="0" i="0" baseline="0">
              <a:solidFill>
                <a:schemeClr val="dk1"/>
              </a:solidFill>
              <a:effectLst/>
              <a:latin typeface="+mn-lt"/>
              <a:ea typeface="+mn-ea"/>
              <a:cs typeface="+mn-cs"/>
            </a:rPr>
            <a:t> </a:t>
          </a:r>
          <a:r>
            <a:rPr lang="en-US" sz="1100" b="0" i="0" baseline="0">
              <a:solidFill>
                <a:schemeClr val="dk1"/>
              </a:solidFill>
              <a:effectLst/>
              <a:latin typeface="+mn-lt"/>
              <a:ea typeface="+mn-ea"/>
              <a:cs typeface="+mn-cs"/>
            </a:rPr>
            <a:t>Dallas Lock</a:t>
          </a:r>
          <a:r>
            <a:rPr lang="ru-RU" sz="1100" b="0" i="0" baseline="0">
              <a:solidFill>
                <a:schemeClr val="dk1"/>
              </a:solidFill>
              <a:effectLst/>
              <a:latin typeface="+mn-lt"/>
              <a:ea typeface="+mn-ea"/>
              <a:cs typeface="+mn-cs"/>
            </a:rPr>
            <a:t> и документацией в электронном виде; краткое руководство; формуляр; копия сертификата.</a:t>
          </a:r>
          <a:endParaRPr lang="ru-RU">
            <a:effectLst/>
          </a:endParaRPr>
        </a:p>
        <a:p>
          <a:endParaRPr lang="ru-RU">
            <a:effectLst/>
          </a:endParaRPr>
        </a:p>
        <a:p>
          <a:pPr algn="just"/>
          <a:endParaRPr lang="ru-RU" sz="1100" b="1" i="0" u="none" strike="noStrike" baseline="0">
            <a:solidFill>
              <a:schemeClr val="dk1"/>
            </a:solidFill>
            <a:latin typeface="+mn-lt"/>
            <a:ea typeface="+mn-ea"/>
            <a:cs typeface="Arial" panose="020B0604020202020204" pitchFamily="34" charset="0"/>
          </a:endParaRPr>
        </a:p>
      </xdr:txBody>
    </xdr:sp>
    <xdr:clientData/>
  </xdr:twoCellAnchor>
  <xdr:twoCellAnchor>
    <xdr:from>
      <xdr:col>2</xdr:col>
      <xdr:colOff>4006216</xdr:colOff>
      <xdr:row>41</xdr:row>
      <xdr:rowOff>55244</xdr:rowOff>
    </xdr:from>
    <xdr:to>
      <xdr:col>5</xdr:col>
      <xdr:colOff>1945005</xdr:colOff>
      <xdr:row>80</xdr:row>
      <xdr:rowOff>38100</xdr:rowOff>
    </xdr:to>
    <xdr:sp macro="" textlink="">
      <xdr:nvSpPr>
        <xdr:cNvPr id="20" name="TextBox 19">
          <a:extLst>
            <a:ext uri="{FF2B5EF4-FFF2-40B4-BE49-F238E27FC236}">
              <a16:creationId xmlns:a16="http://schemas.microsoft.com/office/drawing/2014/main" xmlns="" id="{00000000-0008-0000-0800-000014000000}"/>
            </a:ext>
          </a:extLst>
        </xdr:cNvPr>
        <xdr:cNvSpPr txBox="1"/>
      </xdr:nvSpPr>
      <xdr:spPr>
        <a:xfrm>
          <a:off x="6244591" y="15495269"/>
          <a:ext cx="5777864" cy="722185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ru-RU" sz="1100" b="1" i="0">
              <a:solidFill>
                <a:schemeClr val="dk1"/>
              </a:solidFill>
              <a:effectLst/>
              <a:latin typeface="+mn-lt"/>
              <a:ea typeface="+mn-ea"/>
              <a:cs typeface="+mn-cs"/>
            </a:rPr>
            <a:t>Продление срочной лицензии</a:t>
          </a:r>
          <a:r>
            <a:rPr lang="ru-RU"/>
            <a:t/>
          </a:r>
          <a:br>
            <a:rPr lang="ru-RU"/>
          </a:br>
          <a:r>
            <a:rPr lang="ru-RU" sz="1100" b="0" i="0">
              <a:solidFill>
                <a:schemeClr val="dk1"/>
              </a:solidFill>
              <a:effectLst/>
              <a:latin typeface="+mn-lt"/>
              <a:ea typeface="+mn-ea"/>
              <a:cs typeface="+mn-cs"/>
            </a:rPr>
            <a:t>В рамках действия срочной лицензии бесплатно предоставляются обновлённые сертифицированные дистрибутивы программы, обновления сигнатур в базе решающих правил (БРП) и техническая поддержка. После завершения срочной лицензии обновления и техническая поддержка не предоставляются. При продлении срочной лицензии оплачивается весь прошедший период, в течение которого обновления не предоставлялись. При продлении срочной лицензии возобновляется техническая поддержка, обновление БРП и дистрибутивов программы.</a:t>
          </a:r>
          <a:r>
            <a:rPr lang="ru-RU"/>
            <a:t/>
          </a:r>
          <a:br>
            <a:rPr lang="ru-RU"/>
          </a:br>
          <a:r>
            <a:rPr lang="ru-RU"/>
            <a:t/>
          </a:r>
          <a:br>
            <a:rPr lang="ru-RU"/>
          </a:br>
          <a:r>
            <a:rPr lang="ru-RU" sz="1100" b="1" i="0">
              <a:solidFill>
                <a:schemeClr val="dk1"/>
              </a:solidFill>
              <a:effectLst/>
              <a:latin typeface="+mn-lt"/>
              <a:ea typeface="+mn-ea"/>
              <a:cs typeface="+mn-cs"/>
            </a:rPr>
            <a:t>Приобретение обновлений бессрочной лицензии</a:t>
          </a:r>
          <a:r>
            <a:rPr lang="ru-RU"/>
            <a:t/>
          </a:r>
          <a:br>
            <a:rPr lang="ru-RU"/>
          </a:br>
          <a:r>
            <a:rPr lang="ru-RU" sz="1100" b="0" i="0">
              <a:solidFill>
                <a:schemeClr val="dk1"/>
              </a:solidFill>
              <a:effectLst/>
              <a:latin typeface="+mn-lt"/>
              <a:ea typeface="+mn-ea"/>
              <a:cs typeface="+mn-cs"/>
            </a:rPr>
            <a:t>При приобретении бессрочной лицензии предоставляется годовое гарантийное сопровождение, при котором обновляются сертифицированные дистрибутивы программы, сигнатуры БРП и техническая поддержка. После окончания действия гарантийного сопровождения</a:t>
          </a:r>
          <a:r>
            <a:rPr lang="en-US" sz="1100" b="0" i="0">
              <a:solidFill>
                <a:schemeClr val="dk1"/>
              </a:solidFill>
              <a:effectLst/>
              <a:latin typeface="+mn-lt"/>
              <a:ea typeface="+mn-ea"/>
              <a:cs typeface="+mn-cs"/>
            </a:rPr>
            <a:t>, </a:t>
          </a:r>
          <a:r>
            <a:rPr lang="ru-RU" sz="1100" b="0" i="0">
              <a:solidFill>
                <a:schemeClr val="dk1"/>
              </a:solidFill>
              <a:effectLst/>
              <a:latin typeface="+mn-lt"/>
              <a:ea typeface="+mn-ea"/>
              <a:cs typeface="+mn-cs"/>
            </a:rPr>
            <a:t>обновления и техническая поддержка для бессрочной лицензии не предоставляются. При приобретении</a:t>
          </a:r>
          <a:r>
            <a:rPr lang="ru-RU" sz="1100" b="0" i="0" baseline="0">
              <a:solidFill>
                <a:schemeClr val="dk1"/>
              </a:solidFill>
              <a:effectLst/>
              <a:latin typeface="+mn-lt"/>
              <a:ea typeface="+mn-ea"/>
              <a:cs typeface="+mn-cs"/>
            </a:rPr>
            <a:t> обновлений</a:t>
          </a:r>
          <a:r>
            <a:rPr lang="ru-RU" sz="1100" b="0" i="0">
              <a:solidFill>
                <a:schemeClr val="dk1"/>
              </a:solidFill>
              <a:effectLst/>
              <a:latin typeface="+mn-lt"/>
              <a:ea typeface="+mn-ea"/>
              <a:cs typeface="+mn-cs"/>
            </a:rPr>
            <a:t> бе</a:t>
          </a:r>
          <a:r>
            <a:rPr lang="en-US" sz="1100" b="0" i="0">
              <a:solidFill>
                <a:schemeClr val="dk1"/>
              </a:solidFill>
              <a:effectLst/>
              <a:latin typeface="+mn-lt"/>
              <a:ea typeface="+mn-ea"/>
              <a:cs typeface="+mn-cs"/>
            </a:rPr>
            <a:t>c</a:t>
          </a:r>
          <a:r>
            <a:rPr lang="ru-RU" sz="1100" b="0" i="0">
              <a:solidFill>
                <a:schemeClr val="dk1"/>
              </a:solidFill>
              <a:effectLst/>
              <a:latin typeface="+mn-lt"/>
              <a:ea typeface="+mn-ea"/>
              <a:cs typeface="+mn-cs"/>
            </a:rPr>
            <a:t>срочной лицензии предоставляются</a:t>
          </a:r>
          <a:r>
            <a:rPr lang="ru-RU" sz="1100" b="0" i="0" baseline="0">
              <a:solidFill>
                <a:schemeClr val="dk1"/>
              </a:solidFill>
              <a:effectLst/>
              <a:latin typeface="+mn-lt"/>
              <a:ea typeface="+mn-ea"/>
              <a:cs typeface="+mn-cs"/>
            </a:rPr>
            <a:t> </a:t>
          </a:r>
          <a:r>
            <a:rPr lang="ru-RU" sz="1100" b="0" i="0">
              <a:solidFill>
                <a:schemeClr val="dk1"/>
              </a:solidFill>
              <a:effectLst/>
              <a:latin typeface="+mn-lt"/>
              <a:ea typeface="+mn-ea"/>
              <a:cs typeface="+mn-cs"/>
            </a:rPr>
            <a:t>обновления БРП и дистрибутивы программы.</a:t>
          </a:r>
          <a:r>
            <a:rPr lang="ru-RU" sz="1100" b="0" i="0" baseline="0">
              <a:solidFill>
                <a:schemeClr val="dk1"/>
              </a:solidFill>
              <a:effectLst/>
              <a:latin typeface="+mn-lt"/>
              <a:ea typeface="+mn-ea"/>
              <a:cs typeface="+mn-cs"/>
            </a:rPr>
            <a:t> </a:t>
          </a:r>
          <a:r>
            <a:rPr lang="ru-RU" sz="1100" b="0" i="0">
              <a:solidFill>
                <a:schemeClr val="dk1"/>
              </a:solidFill>
              <a:effectLst/>
              <a:latin typeface="+mn-lt"/>
              <a:ea typeface="+mn-ea"/>
              <a:cs typeface="+mn-cs"/>
            </a:rPr>
            <a:t>В рамках приобретения обновлений</a:t>
          </a:r>
          <a:r>
            <a:rPr lang="ru-RU" sz="1100" b="0" i="0" baseline="0">
              <a:solidFill>
                <a:schemeClr val="dk1"/>
              </a:solidFill>
              <a:effectLst/>
              <a:latin typeface="+mn-lt"/>
              <a:ea typeface="+mn-ea"/>
              <a:cs typeface="+mn-cs"/>
            </a:rPr>
            <a:t> программного обеспечения </a:t>
          </a:r>
          <a:r>
            <a:rPr lang="ru-RU" sz="1100" b="0" i="0">
              <a:solidFill>
                <a:schemeClr val="dk1"/>
              </a:solidFill>
              <a:effectLst/>
              <a:latin typeface="+mn-lt"/>
              <a:ea typeface="+mn-ea"/>
              <a:cs typeface="+mn-cs"/>
            </a:rPr>
            <a:t>оплачивается весь период, в течение которого обновления не предоставлялись.</a:t>
          </a:r>
        </a:p>
        <a:p>
          <a:r>
            <a:rPr lang="ru-RU" sz="1100" b="0" i="0">
              <a:solidFill>
                <a:schemeClr val="dk1"/>
              </a:solidFill>
              <a:effectLst/>
              <a:latin typeface="+mn-lt"/>
              <a:ea typeface="+mn-ea"/>
              <a:cs typeface="+mn-cs"/>
            </a:rPr>
            <a:t/>
          </a:r>
          <a:br>
            <a:rPr lang="ru-RU" sz="1100" b="0" i="0">
              <a:solidFill>
                <a:schemeClr val="dk1"/>
              </a:solidFill>
              <a:effectLst/>
              <a:latin typeface="+mn-lt"/>
              <a:ea typeface="+mn-ea"/>
              <a:cs typeface="+mn-cs"/>
            </a:rPr>
          </a:br>
          <a:r>
            <a:rPr lang="ru-RU" sz="1100" b="0" i="0">
              <a:solidFill>
                <a:schemeClr val="dk1"/>
              </a:solidFill>
              <a:effectLst/>
              <a:latin typeface="+mn-lt"/>
              <a:ea typeface="+mn-ea"/>
              <a:cs typeface="+mn-cs"/>
            </a:rPr>
            <a:t>Для обозначения периода сопровождения срочной лицензии используются следующие артикулы:</a:t>
          </a:r>
          <a:r>
            <a:rPr lang="en-US" sz="1100" b="0" i="0" baseline="0">
              <a:solidFill>
                <a:schemeClr val="dk1"/>
              </a:solidFill>
              <a:effectLst/>
              <a:latin typeface="+mn-lt"/>
              <a:ea typeface="+mn-ea"/>
              <a:cs typeface="+mn-cs"/>
            </a:rPr>
            <a:t> </a:t>
          </a:r>
          <a:r>
            <a:rPr lang="ru-RU" sz="1100" b="1" i="0">
              <a:solidFill>
                <a:schemeClr val="dk1"/>
              </a:solidFill>
              <a:effectLst/>
              <a:latin typeface="+mn-lt"/>
              <a:ea typeface="+mn-ea"/>
              <a:cs typeface="+mn-cs"/>
            </a:rPr>
            <a:t>1</a:t>
          </a:r>
          <a:r>
            <a:rPr lang="en-US" sz="1100" b="1" i="0">
              <a:solidFill>
                <a:schemeClr val="dk1"/>
              </a:solidFill>
              <a:effectLst/>
              <a:latin typeface="+mn-lt"/>
              <a:ea typeface="+mn-ea"/>
              <a:cs typeface="+mn-cs"/>
            </a:rPr>
            <a:t>Y</a:t>
          </a:r>
          <a:r>
            <a:rPr lang="en-US" sz="1100" b="0" i="0">
              <a:solidFill>
                <a:schemeClr val="dk1"/>
              </a:solidFill>
              <a:effectLst/>
              <a:latin typeface="+mn-lt"/>
              <a:ea typeface="+mn-ea"/>
              <a:cs typeface="+mn-cs"/>
            </a:rPr>
            <a:t> — </a:t>
          </a:r>
          <a:r>
            <a:rPr lang="ru-RU" sz="1100" b="0" i="0">
              <a:solidFill>
                <a:schemeClr val="dk1"/>
              </a:solidFill>
              <a:effectLst/>
              <a:latin typeface="+mn-lt"/>
              <a:ea typeface="+mn-ea"/>
              <a:cs typeface="+mn-cs"/>
            </a:rPr>
            <a:t>сопровождение в течение 1 года,</a:t>
          </a:r>
          <a:r>
            <a:rPr lang="en-US" sz="1100" b="0" i="0" baseline="0">
              <a:solidFill>
                <a:schemeClr val="dk1"/>
              </a:solidFill>
              <a:effectLst/>
              <a:latin typeface="+mn-lt"/>
              <a:ea typeface="+mn-ea"/>
              <a:cs typeface="+mn-cs"/>
            </a:rPr>
            <a:t> </a:t>
          </a:r>
          <a:r>
            <a:rPr lang="ru-RU" sz="1100" b="1" i="0">
              <a:solidFill>
                <a:schemeClr val="dk1"/>
              </a:solidFill>
              <a:effectLst/>
              <a:latin typeface="+mn-lt"/>
              <a:ea typeface="+mn-ea"/>
              <a:cs typeface="+mn-cs"/>
            </a:rPr>
            <a:t>3</a:t>
          </a:r>
          <a:r>
            <a:rPr lang="en-US" sz="1100" b="1" i="0">
              <a:solidFill>
                <a:schemeClr val="dk1"/>
              </a:solidFill>
              <a:effectLst/>
              <a:latin typeface="+mn-lt"/>
              <a:ea typeface="+mn-ea"/>
              <a:cs typeface="+mn-cs"/>
            </a:rPr>
            <a:t>Y</a:t>
          </a:r>
          <a:r>
            <a:rPr lang="en-US" sz="1100" b="0" i="0">
              <a:solidFill>
                <a:schemeClr val="dk1"/>
              </a:solidFill>
              <a:effectLst/>
              <a:latin typeface="+mn-lt"/>
              <a:ea typeface="+mn-ea"/>
              <a:cs typeface="+mn-cs"/>
            </a:rPr>
            <a:t> — </a:t>
          </a:r>
          <a:r>
            <a:rPr lang="ru-RU" sz="1100" b="0" i="0">
              <a:solidFill>
                <a:schemeClr val="dk1"/>
              </a:solidFill>
              <a:effectLst/>
              <a:latin typeface="+mn-lt"/>
              <a:ea typeface="+mn-ea"/>
              <a:cs typeface="+mn-cs"/>
            </a:rPr>
            <a:t>сопровождение в течение 3 лет.</a:t>
          </a:r>
          <a:r>
            <a:rPr lang="en-US" sz="1100" b="0" i="0" baseline="0">
              <a:solidFill>
                <a:schemeClr val="dk1"/>
              </a:solidFill>
              <a:effectLst/>
              <a:latin typeface="+mn-lt"/>
              <a:ea typeface="+mn-ea"/>
              <a:cs typeface="+mn-cs"/>
            </a:rPr>
            <a:t> </a:t>
          </a:r>
          <a:r>
            <a:rPr lang="ru-RU" sz="1100" b="0" i="0">
              <a:solidFill>
                <a:schemeClr val="dk1"/>
              </a:solidFill>
              <a:effectLst/>
              <a:latin typeface="+mn-lt"/>
              <a:ea typeface="+mn-ea"/>
              <a:cs typeface="+mn-cs"/>
            </a:rPr>
            <a:t>При выборе расширенного уровня технической поддержки («24×7») используются артикулы: </a:t>
          </a:r>
          <a:r>
            <a:rPr lang="ru-RU" sz="1100" b="1" i="0">
              <a:solidFill>
                <a:schemeClr val="dk1"/>
              </a:solidFill>
              <a:effectLst/>
              <a:latin typeface="+mn-lt"/>
              <a:ea typeface="+mn-ea"/>
              <a:cs typeface="+mn-cs"/>
            </a:rPr>
            <a:t>1</a:t>
          </a:r>
          <a:r>
            <a:rPr lang="en-US" sz="1100" b="1" i="0">
              <a:solidFill>
                <a:schemeClr val="dk1"/>
              </a:solidFill>
              <a:effectLst/>
              <a:latin typeface="+mn-lt"/>
              <a:ea typeface="+mn-ea"/>
              <a:cs typeface="+mn-cs"/>
            </a:rPr>
            <a:t>Y247</a:t>
          </a:r>
          <a:r>
            <a:rPr lang="en-US" sz="1100" b="0" i="0">
              <a:solidFill>
                <a:schemeClr val="dk1"/>
              </a:solidFill>
              <a:effectLst/>
              <a:latin typeface="+mn-lt"/>
              <a:ea typeface="+mn-ea"/>
              <a:cs typeface="+mn-cs"/>
            </a:rPr>
            <a:t>, </a:t>
          </a:r>
          <a:r>
            <a:rPr lang="en-US" sz="1100" b="1" i="0">
              <a:solidFill>
                <a:schemeClr val="dk1"/>
              </a:solidFill>
              <a:effectLst/>
              <a:latin typeface="+mn-lt"/>
              <a:ea typeface="+mn-ea"/>
              <a:cs typeface="+mn-cs"/>
            </a:rPr>
            <a:t>3Y247</a:t>
          </a:r>
          <a:r>
            <a:rPr lang="en-US" sz="1100" b="0" i="0">
              <a:solidFill>
                <a:schemeClr val="dk1"/>
              </a:solidFill>
              <a:effectLst/>
              <a:latin typeface="+mn-lt"/>
              <a:ea typeface="+mn-ea"/>
              <a:cs typeface="+mn-cs"/>
            </a:rPr>
            <a:t>.</a:t>
          </a:r>
          <a:br>
            <a:rPr lang="en-US" sz="1100" b="0" i="0">
              <a:solidFill>
                <a:schemeClr val="dk1"/>
              </a:solidFill>
              <a:effectLst/>
              <a:latin typeface="+mn-lt"/>
              <a:ea typeface="+mn-ea"/>
              <a:cs typeface="+mn-cs"/>
            </a:rPr>
          </a:br>
          <a:r>
            <a:rPr lang="ru-RU" sz="1100" b="0" i="0">
              <a:solidFill>
                <a:schemeClr val="dk1"/>
              </a:solidFill>
              <a:effectLst/>
              <a:latin typeface="+mn-lt"/>
              <a:ea typeface="+mn-ea"/>
              <a:cs typeface="+mn-cs"/>
            </a:rPr>
            <a:t>Для обозначения периода сопровождения бессрочной лицензии используются следующие артикулы:</a:t>
          </a:r>
          <a:r>
            <a:rPr lang="en-US" sz="1100" b="0" i="0" baseline="0">
              <a:solidFill>
                <a:schemeClr val="dk1"/>
              </a:solidFill>
              <a:effectLst/>
              <a:latin typeface="+mn-lt"/>
              <a:ea typeface="+mn-ea"/>
              <a:cs typeface="+mn-cs"/>
            </a:rPr>
            <a:t> </a:t>
          </a:r>
          <a:r>
            <a:rPr lang="en-US" sz="1100" b="1" i="0">
              <a:solidFill>
                <a:schemeClr val="dk1"/>
              </a:solidFill>
              <a:effectLst/>
              <a:latin typeface="+mn-lt"/>
              <a:ea typeface="+mn-ea"/>
              <a:cs typeface="+mn-cs"/>
            </a:rPr>
            <a:t>12M</a:t>
          </a:r>
          <a:r>
            <a:rPr lang="en-US" sz="1100" b="0" i="0">
              <a:solidFill>
                <a:schemeClr val="dk1"/>
              </a:solidFill>
              <a:effectLst/>
              <a:latin typeface="+mn-lt"/>
              <a:ea typeface="+mn-ea"/>
              <a:cs typeface="+mn-cs"/>
            </a:rPr>
            <a:t> — </a:t>
          </a:r>
          <a:r>
            <a:rPr lang="ru-RU" sz="1100" b="0" i="0">
              <a:solidFill>
                <a:schemeClr val="dk1"/>
              </a:solidFill>
              <a:effectLst/>
              <a:latin typeface="+mn-lt"/>
              <a:ea typeface="+mn-ea"/>
              <a:cs typeface="+mn-cs"/>
            </a:rPr>
            <a:t>сопровождение в течение 1 года,</a:t>
          </a:r>
          <a:r>
            <a:rPr lang="en-US" sz="1100" b="0" i="0" baseline="0">
              <a:solidFill>
                <a:schemeClr val="dk1"/>
              </a:solidFill>
              <a:effectLst/>
              <a:latin typeface="+mn-lt"/>
              <a:ea typeface="+mn-ea"/>
              <a:cs typeface="+mn-cs"/>
            </a:rPr>
            <a:t> </a:t>
          </a:r>
          <a:r>
            <a:rPr lang="ru-RU" sz="1100" b="1" i="0">
              <a:solidFill>
                <a:schemeClr val="dk1"/>
              </a:solidFill>
              <a:effectLst/>
              <a:latin typeface="+mn-lt"/>
              <a:ea typeface="+mn-ea"/>
              <a:cs typeface="+mn-cs"/>
            </a:rPr>
            <a:t>36</a:t>
          </a:r>
          <a:r>
            <a:rPr lang="en-US" sz="1100" b="1" i="0">
              <a:solidFill>
                <a:schemeClr val="dk1"/>
              </a:solidFill>
              <a:effectLst/>
              <a:latin typeface="+mn-lt"/>
              <a:ea typeface="+mn-ea"/>
              <a:cs typeface="+mn-cs"/>
            </a:rPr>
            <a:t>M</a:t>
          </a:r>
          <a:r>
            <a:rPr lang="en-US" sz="1100" b="0" i="0">
              <a:solidFill>
                <a:schemeClr val="dk1"/>
              </a:solidFill>
              <a:effectLst/>
              <a:latin typeface="+mn-lt"/>
              <a:ea typeface="+mn-ea"/>
              <a:cs typeface="+mn-cs"/>
            </a:rPr>
            <a:t> — </a:t>
          </a:r>
          <a:r>
            <a:rPr lang="ru-RU" sz="1100" b="0" i="0">
              <a:solidFill>
                <a:schemeClr val="dk1"/>
              </a:solidFill>
              <a:effectLst/>
              <a:latin typeface="+mn-lt"/>
              <a:ea typeface="+mn-ea"/>
              <a:cs typeface="+mn-cs"/>
            </a:rPr>
            <a:t>сопровождение в течение 3 лет.</a:t>
          </a:r>
          <a:r>
            <a:rPr lang="en-US" sz="1100" b="0" i="0" baseline="0">
              <a:solidFill>
                <a:schemeClr val="dk1"/>
              </a:solidFill>
              <a:effectLst/>
              <a:latin typeface="+mn-lt"/>
              <a:ea typeface="+mn-ea"/>
              <a:cs typeface="+mn-cs"/>
            </a:rPr>
            <a:t> </a:t>
          </a:r>
          <a:r>
            <a:rPr lang="ru-RU" sz="1100" b="0" i="0">
              <a:solidFill>
                <a:schemeClr val="dk1"/>
              </a:solidFill>
              <a:effectLst/>
              <a:latin typeface="+mn-lt"/>
              <a:ea typeface="+mn-ea"/>
              <a:cs typeface="+mn-cs"/>
            </a:rPr>
            <a:t>При выборе расширенного уровня технической поддержки («24×7») используются артикулы: </a:t>
          </a:r>
          <a:r>
            <a:rPr lang="en-US" sz="1100" b="1" i="0">
              <a:solidFill>
                <a:schemeClr val="dk1"/>
              </a:solidFill>
              <a:effectLst/>
              <a:latin typeface="+mn-lt"/>
              <a:ea typeface="+mn-ea"/>
              <a:cs typeface="+mn-cs"/>
            </a:rPr>
            <a:t>12M247</a:t>
          </a:r>
          <a:r>
            <a:rPr lang="en-US" sz="1100" b="0" i="0">
              <a:solidFill>
                <a:schemeClr val="dk1"/>
              </a:solidFill>
              <a:effectLst/>
              <a:latin typeface="+mn-lt"/>
              <a:ea typeface="+mn-ea"/>
              <a:cs typeface="+mn-cs"/>
            </a:rPr>
            <a:t>, </a:t>
          </a:r>
          <a:r>
            <a:rPr lang="en-US" sz="1100" b="1" i="0">
              <a:solidFill>
                <a:schemeClr val="dk1"/>
              </a:solidFill>
              <a:effectLst/>
              <a:latin typeface="+mn-lt"/>
              <a:ea typeface="+mn-ea"/>
              <a:cs typeface="+mn-cs"/>
            </a:rPr>
            <a:t>36M247</a:t>
          </a:r>
          <a:r>
            <a:rPr lang="en-US" sz="1100" b="0" i="0">
              <a:solidFill>
                <a:schemeClr val="dk1"/>
              </a:solidFill>
              <a:effectLst/>
              <a:latin typeface="+mn-lt"/>
              <a:ea typeface="+mn-ea"/>
              <a:cs typeface="+mn-cs"/>
            </a:rPr>
            <a:t>.</a:t>
          </a:r>
        </a:p>
        <a:p>
          <a:endParaRPr lang="ru-RU">
            <a:effectLst/>
          </a:endParaRPr>
        </a:p>
        <a:p>
          <a:r>
            <a:rPr lang="ru-RU" sz="1100" b="1">
              <a:solidFill>
                <a:schemeClr val="dk1"/>
              </a:solidFill>
              <a:effectLst/>
              <a:latin typeface="+mn-lt"/>
              <a:ea typeface="+mn-ea"/>
              <a:cs typeface="+mn-cs"/>
            </a:rPr>
            <a:t>Переход</a:t>
          </a:r>
          <a:r>
            <a:rPr lang="ru-RU" sz="1100" b="1" baseline="0">
              <a:solidFill>
                <a:schemeClr val="dk1"/>
              </a:solidFill>
              <a:effectLst/>
              <a:latin typeface="+mn-lt"/>
              <a:ea typeface="+mn-ea"/>
              <a:cs typeface="+mn-cs"/>
            </a:rPr>
            <a:t> со срочной лицензии на бессрочную лицензию</a:t>
          </a:r>
          <a:endParaRPr lang="ru-RU">
            <a:effectLst/>
          </a:endParaRPr>
        </a:p>
        <a:p>
          <a:r>
            <a:rPr lang="ru-RU" sz="1100" b="1" i="0">
              <a:solidFill>
                <a:schemeClr val="dk1"/>
              </a:solidFill>
              <a:effectLst/>
              <a:latin typeface="+mn-lt"/>
              <a:ea typeface="+mn-ea"/>
              <a:cs typeface="+mn-cs"/>
            </a:rPr>
            <a:t>Стоимость перехода рассчитывается по формуле: Стоимость бессрочной лицензии минус стоимость срочной лицензии  с коэффициентом 0,8. </a:t>
          </a:r>
        </a:p>
        <a:p>
          <a:endParaRPr lang="ru-RU" sz="1100" b="1" i="0">
            <a:solidFill>
              <a:schemeClr val="dk1"/>
            </a:solidFill>
            <a:effectLst/>
            <a:latin typeface="+mn-lt"/>
            <a:ea typeface="+mn-ea"/>
            <a:cs typeface="+mn-cs"/>
          </a:endParaRPr>
        </a:p>
        <a:p>
          <a:r>
            <a:rPr lang="ru-RU" sz="1100" b="0" i="0">
              <a:solidFill>
                <a:schemeClr val="dk1"/>
              </a:solidFill>
              <a:effectLst/>
              <a:latin typeface="+mn-lt"/>
              <a:ea typeface="+mn-ea"/>
              <a:cs typeface="+mn-cs"/>
            </a:rPr>
            <a:t>При переходе со срочной лицензии</a:t>
          </a:r>
          <a:r>
            <a:rPr lang="en-US" sz="1100" b="0" i="0">
              <a:solidFill>
                <a:schemeClr val="dk1"/>
              </a:solidFill>
              <a:effectLst/>
              <a:latin typeface="+mn-lt"/>
              <a:ea typeface="+mn-ea"/>
              <a:cs typeface="+mn-cs"/>
            </a:rPr>
            <a:t> </a:t>
          </a:r>
          <a:r>
            <a:rPr lang="en-US" sz="1100" b="1" i="0">
              <a:solidFill>
                <a:schemeClr val="dk1"/>
              </a:solidFill>
              <a:effectLst/>
              <a:latin typeface="+mn-lt"/>
              <a:ea typeface="+mn-ea"/>
              <a:cs typeface="+mn-cs"/>
            </a:rPr>
            <a:t>UPGRD-</a:t>
          </a:r>
          <a:r>
            <a:rPr lang="en-US" sz="1100" b="0" i="0">
              <a:solidFill>
                <a:schemeClr val="dk1"/>
              </a:solidFill>
              <a:effectLst/>
              <a:latin typeface="+mn-lt"/>
              <a:ea typeface="+mn-ea"/>
              <a:cs typeface="+mn-cs"/>
            </a:rPr>
            <a:t>*</a:t>
          </a:r>
          <a:r>
            <a:rPr lang="ru-RU" sz="1100" b="0" i="0">
              <a:solidFill>
                <a:schemeClr val="dk1"/>
              </a:solidFill>
              <a:effectLst/>
              <a:latin typeface="+mn-lt"/>
              <a:ea typeface="+mn-ea"/>
              <a:cs typeface="+mn-cs"/>
            </a:rPr>
            <a:t> на бессрочную</a:t>
          </a:r>
          <a:r>
            <a:rPr lang="en-US" sz="1100" b="0" i="0">
              <a:solidFill>
                <a:schemeClr val="dk1"/>
              </a:solidFill>
              <a:effectLst/>
              <a:latin typeface="+mn-lt"/>
              <a:ea typeface="+mn-ea"/>
              <a:cs typeface="+mn-cs"/>
            </a:rPr>
            <a:t> </a:t>
          </a:r>
          <a:r>
            <a:rPr lang="en-US" sz="1100" b="1" i="0">
              <a:solidFill>
                <a:schemeClr val="dk1"/>
              </a:solidFill>
              <a:effectLst/>
              <a:latin typeface="+mn-lt"/>
              <a:ea typeface="+mn-ea"/>
              <a:cs typeface="+mn-cs"/>
            </a:rPr>
            <a:t>UPD-*</a:t>
          </a:r>
          <a:r>
            <a:rPr lang="ru-RU" sz="1100" b="1" i="0">
              <a:solidFill>
                <a:schemeClr val="dk1"/>
              </a:solidFill>
              <a:effectLst/>
              <a:latin typeface="+mn-lt"/>
              <a:ea typeface="+mn-ea"/>
              <a:cs typeface="+mn-cs"/>
            </a:rPr>
            <a:t> </a:t>
          </a:r>
          <a:r>
            <a:rPr lang="ru-RU" sz="1100" b="0" i="0">
              <a:solidFill>
                <a:schemeClr val="dk1"/>
              </a:solidFill>
              <a:effectLst/>
              <a:latin typeface="+mn-lt"/>
              <a:ea typeface="+mn-ea"/>
              <a:cs typeface="+mn-cs"/>
            </a:rPr>
            <a:t>предоставляется актуальный сертифицированный дистрибутив программы вместе с новым файлом лицензии,</a:t>
          </a:r>
          <a:r>
            <a:rPr lang="en-US" sz="1100" b="0" i="0">
              <a:solidFill>
                <a:schemeClr val="dk1"/>
              </a:solidFill>
              <a:effectLst/>
              <a:latin typeface="+mn-lt"/>
              <a:ea typeface="+mn-ea"/>
              <a:cs typeface="+mn-cs"/>
            </a:rPr>
            <a:t>                                 </a:t>
          </a:r>
          <a:r>
            <a:rPr lang="ru-RU" sz="1100" b="0" i="0">
              <a:solidFill>
                <a:schemeClr val="dk1"/>
              </a:solidFill>
              <a:effectLst/>
              <a:latin typeface="+mn-lt"/>
              <a:ea typeface="+mn-ea"/>
              <a:cs typeface="+mn-cs"/>
            </a:rPr>
            <a:t>   а также обновляется база решающих правил (БРП) межсетевого экрана и база </a:t>
          </a:r>
          <a:r>
            <a:rPr lang="en-US" sz="1100" b="0" i="0">
              <a:solidFill>
                <a:schemeClr val="dk1"/>
              </a:solidFill>
              <a:effectLst/>
              <a:latin typeface="+mn-lt"/>
              <a:ea typeface="+mn-ea"/>
              <a:cs typeface="+mn-cs"/>
            </a:rPr>
            <a:t>GeoIP.</a:t>
          </a:r>
        </a:p>
        <a:p>
          <a:r>
            <a:rPr lang="ru-RU" sz="1100" b="0" i="0">
              <a:solidFill>
                <a:schemeClr val="dk1"/>
              </a:solidFill>
              <a:effectLst/>
              <a:latin typeface="+mn-lt"/>
              <a:ea typeface="+mn-ea"/>
              <a:cs typeface="+mn-cs"/>
            </a:rPr>
            <a:t>Необходимо обязательно произвести обновление на актуальную версию, предоставляемую вместе с лицензией. Текущая конфигурация ПО может быть сохранена и перенесена в обновленную версию по желанию.</a:t>
          </a:r>
          <a:r>
            <a:rPr lang="en-US" sz="1100" b="0" i="0" baseline="0">
              <a:solidFill>
                <a:schemeClr val="dk1"/>
              </a:solidFill>
              <a:effectLst/>
              <a:latin typeface="+mn-lt"/>
              <a:ea typeface="+mn-ea"/>
              <a:cs typeface="+mn-cs"/>
            </a:rPr>
            <a:t> </a:t>
          </a:r>
          <a:r>
            <a:rPr lang="ru-RU" sz="1100" b="0" i="0">
              <a:solidFill>
                <a:schemeClr val="dk1"/>
              </a:solidFill>
              <a:effectLst/>
              <a:latin typeface="+mn-lt"/>
              <a:ea typeface="+mn-ea"/>
              <a:cs typeface="+mn-cs"/>
            </a:rPr>
            <a:t>В случае совпадения Вашей текущей и актуальной версии ПО в момент перехода со срочной модели лицензирования на бессрочную переустановка не потребуется.</a:t>
          </a:r>
        </a:p>
        <a:p>
          <a:r>
            <a:rPr lang="ru-RU" sz="1100" b="0" i="0">
              <a:solidFill>
                <a:schemeClr val="dk1"/>
              </a:solidFill>
              <a:effectLst/>
              <a:latin typeface="+mn-lt"/>
              <a:ea typeface="+mn-ea"/>
              <a:cs typeface="+mn-cs"/>
            </a:rPr>
            <a:t/>
          </a:r>
          <a:br>
            <a:rPr lang="ru-RU" sz="1100" b="0" i="0">
              <a:solidFill>
                <a:schemeClr val="dk1"/>
              </a:solidFill>
              <a:effectLst/>
              <a:latin typeface="+mn-lt"/>
              <a:ea typeface="+mn-ea"/>
              <a:cs typeface="+mn-cs"/>
            </a:rPr>
          </a:br>
          <a:endParaRPr lang="en-US" sz="1100" b="0" i="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ru-RU" sz="1100" b="0" i="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b="0" i="0" baseline="0">
            <a:solidFill>
              <a:schemeClr val="dk1"/>
            </a:solidFill>
            <a:effectLst/>
            <a:latin typeface="+mn-lt"/>
            <a:ea typeface="+mn-ea"/>
            <a:cs typeface="+mn-cs"/>
          </a:endParaRPr>
        </a:p>
        <a:p>
          <a:pPr algn="just">
            <a:lnSpc>
              <a:spcPct val="115000"/>
            </a:lnSpc>
            <a:spcAft>
              <a:spcPts val="0"/>
            </a:spcAft>
          </a:pPr>
          <a:endParaRPr lang="ru-RU" sz="1100" b="0">
            <a:solidFill>
              <a:srgbClr val="000000"/>
            </a:solidFill>
            <a:effectLst/>
            <a:latin typeface="+mn-lt"/>
            <a:ea typeface="Calibri"/>
            <a:cs typeface="Times New Roman"/>
          </a:endParaRPr>
        </a:p>
      </xdr:txBody>
    </xdr:sp>
    <xdr:clientData/>
  </xdr:twoCellAnchor>
  <xdr:twoCellAnchor>
    <xdr:from>
      <xdr:col>1</xdr:col>
      <xdr:colOff>2124075</xdr:colOff>
      <xdr:row>3</xdr:row>
      <xdr:rowOff>95250</xdr:rowOff>
    </xdr:from>
    <xdr:to>
      <xdr:col>19</xdr:col>
      <xdr:colOff>133350</xdr:colOff>
      <xdr:row>4</xdr:row>
      <xdr:rowOff>148590</xdr:rowOff>
    </xdr:to>
    <xdr:sp macro="" textlink="">
      <xdr:nvSpPr>
        <xdr:cNvPr id="23" name="Прямоугольник 22">
          <a:hlinkClick xmlns:r="http://schemas.openxmlformats.org/officeDocument/2006/relationships" r:id="rId4"/>
          <a:extLst>
            <a:ext uri="{FF2B5EF4-FFF2-40B4-BE49-F238E27FC236}">
              <a16:creationId xmlns:a16="http://schemas.microsoft.com/office/drawing/2014/main" xmlns="" id="{00000000-0008-0000-0800-000017000000}"/>
            </a:ext>
          </a:extLst>
        </xdr:cNvPr>
        <xdr:cNvSpPr/>
      </xdr:nvSpPr>
      <xdr:spPr>
        <a:xfrm>
          <a:off x="2209800" y="1743075"/>
          <a:ext cx="12096750" cy="38671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mc:AlternateContent xmlns:mc="http://schemas.openxmlformats.org/markup-compatibility/2006">
    <mc:Choice xmlns:a14="http://schemas.microsoft.com/office/drawing/2010/main" Requires="a14">
      <xdr:twoCellAnchor editAs="oneCell">
        <xdr:from>
          <xdr:col>5</xdr:col>
          <xdr:colOff>0</xdr:colOff>
          <xdr:row>16</xdr:row>
          <xdr:rowOff>161925</xdr:rowOff>
        </xdr:from>
        <xdr:to>
          <xdr:col>5</xdr:col>
          <xdr:colOff>257175</xdr:colOff>
          <xdr:row>18</xdr:row>
          <xdr:rowOff>9525</xdr:rowOff>
        </xdr:to>
        <xdr:sp macro="" textlink="">
          <xdr:nvSpPr>
            <xdr:cNvPr id="33809" name="Check Box 17" hidden="1">
              <a:extLst>
                <a:ext uri="{63B3BB69-23CF-44E3-9099-C40C66FF867C}">
                  <a14:compatExt spid="_x0000_s33809"/>
                </a:ext>
                <a:ext uri="{FF2B5EF4-FFF2-40B4-BE49-F238E27FC236}">
                  <a16:creationId xmlns:a16="http://schemas.microsoft.com/office/drawing/2014/main" xmlns="" id="{00000000-0008-0000-0800-000011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104898</xdr:colOff>
      <xdr:row>8</xdr:row>
      <xdr:rowOff>5728</xdr:rowOff>
    </xdr:from>
    <xdr:to>
      <xdr:col>1</xdr:col>
      <xdr:colOff>108857</xdr:colOff>
      <xdr:row>9</xdr:row>
      <xdr:rowOff>506186</xdr:rowOff>
    </xdr:to>
    <xdr:cxnSp macro="">
      <xdr:nvCxnSpPr>
        <xdr:cNvPr id="25" name="Прямая соединительная линия 24">
          <a:extLst>
            <a:ext uri="{FF2B5EF4-FFF2-40B4-BE49-F238E27FC236}">
              <a16:creationId xmlns:a16="http://schemas.microsoft.com/office/drawing/2014/main" xmlns="" id="{00000000-0008-0000-0800-000019000000}"/>
            </a:ext>
          </a:extLst>
        </xdr:cNvPr>
        <xdr:cNvCxnSpPr/>
      </xdr:nvCxnSpPr>
      <xdr:spPr>
        <a:xfrm>
          <a:off x="197427" y="3075499"/>
          <a:ext cx="3959" cy="1017530"/>
        </a:xfrm>
        <a:prstGeom prst="line">
          <a:avLst/>
        </a:prstGeom>
        <a:ln w="19050">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1</xdr:col>
          <xdr:colOff>0</xdr:colOff>
          <xdr:row>8</xdr:row>
          <xdr:rowOff>57150</xdr:rowOff>
        </xdr:from>
        <xdr:to>
          <xdr:col>1</xdr:col>
          <xdr:colOff>190500</xdr:colOff>
          <xdr:row>8</xdr:row>
          <xdr:rowOff>438150</xdr:rowOff>
        </xdr:to>
        <xdr:sp macro="" textlink="">
          <xdr:nvSpPr>
            <xdr:cNvPr id="33810" name="Check Box 18" hidden="1">
              <a:extLst>
                <a:ext uri="{63B3BB69-23CF-44E3-9099-C40C66FF867C}">
                  <a14:compatExt spid="_x0000_s33810"/>
                </a:ext>
                <a:ext uri="{FF2B5EF4-FFF2-40B4-BE49-F238E27FC236}">
                  <a16:creationId xmlns:a16="http://schemas.microsoft.com/office/drawing/2014/main" xmlns="" id="{00000000-0008-0000-0800-000012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9</xdr:row>
          <xdr:rowOff>57150</xdr:rowOff>
        </xdr:from>
        <xdr:to>
          <xdr:col>1</xdr:col>
          <xdr:colOff>190500</xdr:colOff>
          <xdr:row>9</xdr:row>
          <xdr:rowOff>438150</xdr:rowOff>
        </xdr:to>
        <xdr:sp macro="" textlink="">
          <xdr:nvSpPr>
            <xdr:cNvPr id="33811" name="Check Box 19" hidden="1">
              <a:extLst>
                <a:ext uri="{63B3BB69-23CF-44E3-9099-C40C66FF867C}">
                  <a14:compatExt spid="_x0000_s33811"/>
                </a:ext>
                <a:ext uri="{FF2B5EF4-FFF2-40B4-BE49-F238E27FC236}">
                  <a16:creationId xmlns:a16="http://schemas.microsoft.com/office/drawing/2014/main" xmlns="" id="{00000000-0008-0000-0800-000013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113472</xdr:colOff>
      <xdr:row>12</xdr:row>
      <xdr:rowOff>558</xdr:rowOff>
    </xdr:from>
    <xdr:to>
      <xdr:col>1</xdr:col>
      <xdr:colOff>114300</xdr:colOff>
      <xdr:row>12</xdr:row>
      <xdr:rowOff>693420</xdr:rowOff>
    </xdr:to>
    <xdr:cxnSp macro="">
      <xdr:nvCxnSpPr>
        <xdr:cNvPr id="26" name="Прямая соединительная линия 25">
          <a:extLst>
            <a:ext uri="{FF2B5EF4-FFF2-40B4-BE49-F238E27FC236}">
              <a16:creationId xmlns:a16="http://schemas.microsoft.com/office/drawing/2014/main" xmlns="" id="{00000000-0008-0000-0800-00001A000000}"/>
            </a:ext>
          </a:extLst>
        </xdr:cNvPr>
        <xdr:cNvCxnSpPr/>
      </xdr:nvCxnSpPr>
      <xdr:spPr>
        <a:xfrm>
          <a:off x="204912" y="5304078"/>
          <a:ext cx="828" cy="692862"/>
        </a:xfrm>
        <a:prstGeom prst="line">
          <a:avLst/>
        </a:prstGeom>
        <a:ln w="19050">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1</xdr:col>
          <xdr:colOff>0</xdr:colOff>
          <xdr:row>12</xdr:row>
          <xdr:rowOff>57150</xdr:rowOff>
        </xdr:from>
        <xdr:to>
          <xdr:col>1</xdr:col>
          <xdr:colOff>200025</xdr:colOff>
          <xdr:row>12</xdr:row>
          <xdr:rowOff>619125</xdr:rowOff>
        </xdr:to>
        <xdr:sp macro="" textlink="">
          <xdr:nvSpPr>
            <xdr:cNvPr id="33812" name="Check Box 20" hidden="1">
              <a:extLst>
                <a:ext uri="{63B3BB69-23CF-44E3-9099-C40C66FF867C}">
                  <a14:compatExt spid="_x0000_s33812"/>
                </a:ext>
                <a:ext uri="{FF2B5EF4-FFF2-40B4-BE49-F238E27FC236}">
                  <a16:creationId xmlns:a16="http://schemas.microsoft.com/office/drawing/2014/main" xmlns="" id="{00000000-0008-0000-0800-000014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92869</xdr:colOff>
      <xdr:row>19</xdr:row>
      <xdr:rowOff>5362</xdr:rowOff>
    </xdr:from>
    <xdr:to>
      <xdr:col>1</xdr:col>
      <xdr:colOff>106179</xdr:colOff>
      <xdr:row>20</xdr:row>
      <xdr:rowOff>306449</xdr:rowOff>
    </xdr:to>
    <xdr:cxnSp macro="">
      <xdr:nvCxnSpPr>
        <xdr:cNvPr id="28" name="Прямая соединительная линия 27">
          <a:extLst>
            <a:ext uri="{FF2B5EF4-FFF2-40B4-BE49-F238E27FC236}">
              <a16:creationId xmlns:a16="http://schemas.microsoft.com/office/drawing/2014/main" xmlns="" id="{00000000-0008-0000-0800-00001C000000}"/>
            </a:ext>
          </a:extLst>
        </xdr:cNvPr>
        <xdr:cNvCxnSpPr/>
      </xdr:nvCxnSpPr>
      <xdr:spPr>
        <a:xfrm flipH="1">
          <a:off x="178594" y="7672987"/>
          <a:ext cx="13310" cy="824962"/>
        </a:xfrm>
        <a:prstGeom prst="line">
          <a:avLst/>
        </a:prstGeom>
        <a:ln w="19050">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104897</xdr:colOff>
      <xdr:row>19</xdr:row>
      <xdr:rowOff>5728</xdr:rowOff>
    </xdr:from>
    <xdr:to>
      <xdr:col>1</xdr:col>
      <xdr:colOff>114300</xdr:colOff>
      <xdr:row>20</xdr:row>
      <xdr:rowOff>510540</xdr:rowOff>
    </xdr:to>
    <xdr:cxnSp macro="">
      <xdr:nvCxnSpPr>
        <xdr:cNvPr id="29" name="Прямая соединительная линия 28">
          <a:extLst>
            <a:ext uri="{FF2B5EF4-FFF2-40B4-BE49-F238E27FC236}">
              <a16:creationId xmlns:a16="http://schemas.microsoft.com/office/drawing/2014/main" xmlns="" id="{00000000-0008-0000-0800-00001D000000}"/>
            </a:ext>
          </a:extLst>
        </xdr:cNvPr>
        <xdr:cNvCxnSpPr/>
      </xdr:nvCxnSpPr>
      <xdr:spPr>
        <a:xfrm>
          <a:off x="196337" y="8349628"/>
          <a:ext cx="9403" cy="1022972"/>
        </a:xfrm>
        <a:prstGeom prst="line">
          <a:avLst/>
        </a:prstGeom>
        <a:ln w="19050">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1</xdr:col>
          <xdr:colOff>9525</xdr:colOff>
          <xdr:row>19</xdr:row>
          <xdr:rowOff>66675</xdr:rowOff>
        </xdr:from>
        <xdr:to>
          <xdr:col>1</xdr:col>
          <xdr:colOff>257175</xdr:colOff>
          <xdr:row>19</xdr:row>
          <xdr:rowOff>447675</xdr:rowOff>
        </xdr:to>
        <xdr:sp macro="" textlink="">
          <xdr:nvSpPr>
            <xdr:cNvPr id="33813" name="Check Box 21" hidden="1">
              <a:extLst>
                <a:ext uri="{63B3BB69-23CF-44E3-9099-C40C66FF867C}">
                  <a14:compatExt spid="_x0000_s33813"/>
                </a:ext>
                <a:ext uri="{FF2B5EF4-FFF2-40B4-BE49-F238E27FC236}">
                  <a16:creationId xmlns:a16="http://schemas.microsoft.com/office/drawing/2014/main" xmlns="" id="{00000000-0008-0000-0800-000015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106680</xdr:colOff>
      <xdr:row>22</xdr:row>
      <xdr:rowOff>517629</xdr:rowOff>
    </xdr:from>
    <xdr:to>
      <xdr:col>1</xdr:col>
      <xdr:colOff>113472</xdr:colOff>
      <xdr:row>24</xdr:row>
      <xdr:rowOff>0</xdr:rowOff>
    </xdr:to>
    <xdr:cxnSp macro="">
      <xdr:nvCxnSpPr>
        <xdr:cNvPr id="32" name="Прямая соединительная линия 31">
          <a:extLst>
            <a:ext uri="{FF2B5EF4-FFF2-40B4-BE49-F238E27FC236}">
              <a16:creationId xmlns:a16="http://schemas.microsoft.com/office/drawing/2014/main" xmlns="" id="{00000000-0008-0000-0800-000020000000}"/>
            </a:ext>
          </a:extLst>
        </xdr:cNvPr>
        <xdr:cNvCxnSpPr/>
      </xdr:nvCxnSpPr>
      <xdr:spPr>
        <a:xfrm flipH="1">
          <a:off x="198120" y="10530309"/>
          <a:ext cx="6792" cy="518691"/>
        </a:xfrm>
        <a:prstGeom prst="line">
          <a:avLst/>
        </a:prstGeom>
        <a:ln w="19050">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1</xdr:col>
          <xdr:colOff>0</xdr:colOff>
          <xdr:row>23</xdr:row>
          <xdr:rowOff>104775</xdr:rowOff>
        </xdr:from>
        <xdr:to>
          <xdr:col>1</xdr:col>
          <xdr:colOff>200025</xdr:colOff>
          <xdr:row>23</xdr:row>
          <xdr:rowOff>409575</xdr:rowOff>
        </xdr:to>
        <xdr:sp macro="" textlink="">
          <xdr:nvSpPr>
            <xdr:cNvPr id="33815" name="Check Box 23" hidden="1">
              <a:extLst>
                <a:ext uri="{63B3BB69-23CF-44E3-9099-C40C66FF867C}">
                  <a14:compatExt spid="_x0000_s33815"/>
                </a:ext>
                <a:ext uri="{FF2B5EF4-FFF2-40B4-BE49-F238E27FC236}">
                  <a16:creationId xmlns:a16="http://schemas.microsoft.com/office/drawing/2014/main" xmlns="" id="{00000000-0008-0000-0800-000017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5714</xdr:colOff>
      <xdr:row>92</xdr:row>
      <xdr:rowOff>152400</xdr:rowOff>
    </xdr:from>
    <xdr:to>
      <xdr:col>5</xdr:col>
      <xdr:colOff>2022475</xdr:colOff>
      <xdr:row>97</xdr:row>
      <xdr:rowOff>68580</xdr:rowOff>
    </xdr:to>
    <xdr:pic>
      <xdr:nvPicPr>
        <xdr:cNvPr id="36" name="Рисунок 35">
          <a:extLst>
            <a:ext uri="{FF2B5EF4-FFF2-40B4-BE49-F238E27FC236}">
              <a16:creationId xmlns:a16="http://schemas.microsoft.com/office/drawing/2014/main" xmlns="" id="{00000000-0008-0000-0800-000024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91439" y="25060275"/>
          <a:ext cx="12008486" cy="67818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xdr:col>
          <xdr:colOff>9525</xdr:colOff>
          <xdr:row>20</xdr:row>
          <xdr:rowOff>47625</xdr:rowOff>
        </xdr:from>
        <xdr:to>
          <xdr:col>1</xdr:col>
          <xdr:colOff>209550</xdr:colOff>
          <xdr:row>20</xdr:row>
          <xdr:rowOff>428625</xdr:rowOff>
        </xdr:to>
        <xdr:sp macro="" textlink="">
          <xdr:nvSpPr>
            <xdr:cNvPr id="33822" name="Check Box 30" hidden="1">
              <a:extLst>
                <a:ext uri="{63B3BB69-23CF-44E3-9099-C40C66FF867C}">
                  <a14:compatExt spid="_x0000_s33822"/>
                </a:ext>
                <a:ext uri="{FF2B5EF4-FFF2-40B4-BE49-F238E27FC236}">
                  <a16:creationId xmlns:a16="http://schemas.microsoft.com/office/drawing/2014/main" xmlns="" id="{00000000-0008-0000-0800-00001E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3905250</xdr:colOff>
          <xdr:row>16</xdr:row>
          <xdr:rowOff>161925</xdr:rowOff>
        </xdr:from>
        <xdr:to>
          <xdr:col>2</xdr:col>
          <xdr:colOff>4124325</xdr:colOff>
          <xdr:row>18</xdr:row>
          <xdr:rowOff>19050</xdr:rowOff>
        </xdr:to>
        <xdr:sp macro="" textlink="">
          <xdr:nvSpPr>
            <xdr:cNvPr id="33831" name="Check Box 39" hidden="1">
              <a:extLst>
                <a:ext uri="{63B3BB69-23CF-44E3-9099-C40C66FF867C}">
                  <a14:compatExt spid="_x0000_s33831"/>
                </a:ext>
                <a:ext uri="{FF2B5EF4-FFF2-40B4-BE49-F238E27FC236}">
                  <a16:creationId xmlns:a16="http://schemas.microsoft.com/office/drawing/2014/main" xmlns="" id="{00000000-0008-0000-0800-000027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19050</xdr:colOff>
      <xdr:row>84</xdr:row>
      <xdr:rowOff>162707</xdr:rowOff>
    </xdr:from>
    <xdr:to>
      <xdr:col>5</xdr:col>
      <xdr:colOff>2028825</xdr:colOff>
      <xdr:row>92</xdr:row>
      <xdr:rowOff>49083</xdr:rowOff>
    </xdr:to>
    <xdr:pic>
      <xdr:nvPicPr>
        <xdr:cNvPr id="4" name="Рисунок 3">
          <a:extLst>
            <a:ext uri="{FF2B5EF4-FFF2-40B4-BE49-F238E27FC236}">
              <a16:creationId xmlns:a16="http://schemas.microsoft.com/office/drawing/2014/main" xmlns="" id="{00000000-0008-0000-0800-000004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xdr:blipFill>
      <xdr:spPr>
        <a:xfrm>
          <a:off x="104775" y="23546582"/>
          <a:ext cx="12001500" cy="141037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calc.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
      <sheetName val="items"/>
    </sheetNames>
    <sheetDataSet>
      <sheetData sheetId="0"/>
      <sheetData sheetId="1">
        <row r="1">
          <cell r="B1" t="str">
            <v>до 10</v>
          </cell>
        </row>
        <row r="2">
          <cell r="A2" t="str">
            <v>Dallas Lock  Linux. Право на использование (СЗИ НСД)</v>
          </cell>
        </row>
        <row r="3">
          <cell r="A3" t="str">
            <v>Dallas Lock  Linux (СЗИ НСД): продление технического сопровождения (3 года на 1 рабочую станцию,сервер). Основной пакет</v>
          </cell>
        </row>
        <row r="4">
          <cell r="A4" t="str">
            <v>Dallas Lock 8.0. Сертифицированный комплект для установки</v>
          </cell>
        </row>
        <row r="5">
          <cell r="A5" t="str">
            <v>Dallas Lock 8.0-С. Право на использование (СЗИ НСД)</v>
          </cell>
        </row>
        <row r="6">
          <cell r="A6" t="str">
            <v>Dallas Lock  8.0-C (СЗИ НСД): продление технического сопровождения (3 года на 1 рабочую станцию,сервер). Основной пакет</v>
          </cell>
        </row>
        <row r="7">
          <cell r="A7" t="str">
            <v>Dallas Lock 8.0-К. Право на использование (СЗИ НСД, СКН)</v>
          </cell>
        </row>
        <row r="8">
          <cell r="A8" t="str">
            <v>Dallas Lock  8.0-K (СЗИ НСД, СКН): продление технического сопровождения (3 года на 1 рабочую станцию,сервер). Основной пакет</v>
          </cell>
        </row>
        <row r="9">
          <cell r="A9" t="str">
            <v>Dallas Lock 8.0-К с модулем межсетевого экрана. Право на использование (СЗИ НСД, СКН, МЭ)</v>
          </cell>
        </row>
        <row r="10">
          <cell r="A10" t="str">
            <v>Dallas Lock  8.0-K (СЗИ НСД, СКН, МЭ): продление технического сопровождения (3 года на 1 рабочую станцию,сервер). Основной пакет</v>
          </cell>
        </row>
        <row r="11">
          <cell r="A11" t="str">
            <v>Dallas Lock 8.0-К с модулем межсетевого экрана. Право на использование (СЗИ НСД, СКН, МЭ). Обновление</v>
          </cell>
        </row>
        <row r="12">
          <cell r="A12" t="str">
            <v>Модуль межсетевого экрана для Dallas Lock 8.0-К. Право на использование (МЭ)</v>
          </cell>
        </row>
        <row r="13">
          <cell r="A13" t="str">
            <v>Терминальное подключение для Dallas Lock 8.0. Право на использование</v>
          </cell>
        </row>
        <row r="14">
          <cell r="A14" t="str">
            <v>Терминальное подключение для Dallas Lock  8.0: продление технического сопровождения (3 года на 1 рабочую станцию,сервер). Основной пакет</v>
          </cell>
        </row>
        <row r="15">
          <cell r="A15" t="str">
            <v>Dallas Lock 8.0. Сертифицированный комплект для установки</v>
          </cell>
        </row>
        <row r="16">
          <cell r="A16" t="str">
            <v xml:space="preserve">Сервер безопасности для Dallas Lock 8.0-С. Право на использование </v>
          </cell>
        </row>
        <row r="17">
          <cell r="A17" t="str">
            <v>Сервер безопасности для Dallas Lock 8.0-C: продление технического сопровождения (3 года). Основной пакет</v>
          </cell>
        </row>
        <row r="18">
          <cell r="A18" t="str">
            <v xml:space="preserve">Сервер безопасности для Dallas Lock 8.0-К. Право на использование </v>
          </cell>
        </row>
        <row r="19">
          <cell r="A19" t="str">
            <v>Сервер безопасности для Dallas Lock 8.0-K: продление технического сопровождения (3 года). Основной пакет</v>
          </cell>
        </row>
        <row r="20">
          <cell r="A20" t="str">
            <v>Сервер лицензий для Dallas Lock 8.0-К. Право на использование для управления Dallas Lock 8.0-К (1 терминальный сервер, без возможности управления доменами)</v>
          </cell>
        </row>
        <row r="21">
          <cell r="A21" t="str">
            <v>Сервер лицензий для Dallas Lock 8.0-К (1 терминальный сервер, без возможности управления доменами): продление технического сопровождения (3 года). Основной пакет</v>
          </cell>
        </row>
        <row r="22">
          <cell r="A22" t="str">
            <v>Сервер лицензий для Dallas Lock 8.0-К. Право на использование для управления Dallas Lock 8.0-К (5 терминальных серверов, без возможности управления доменами)</v>
          </cell>
        </row>
        <row r="23">
          <cell r="A23" t="str">
            <v>Сервер лицензий для Dallas Lock 8.0-К (5 терминальных серверов, без возможности управления доменами): продление технического сопровождения (1 год). Основной пакет</v>
          </cell>
        </row>
        <row r="24">
          <cell r="A24" t="str">
            <v>Сервер лицензий для Dallas Lock 8.0-К. Право на использование для управления Dallas Lock 8.0-К ( 5 доменов безопасности, 5 терминальных серверов)</v>
          </cell>
        </row>
        <row r="25">
          <cell r="A25" t="str">
            <v>Сервер лицензий для Dallas Lock 8.0-К (5 доменов безопасности, 5 терминальных серверов): продление технического сопровождения (3 года). Основной пакет</v>
          </cell>
        </row>
        <row r="26">
          <cell r="A26" t="str">
            <v>Сервер лицензий для Dallas Lock 8.0-К. Право на использование для управления Dallas Lock 8.0-К (50 доменов безопасности, 50 терминальных серверов)</v>
          </cell>
        </row>
        <row r="27">
          <cell r="A27" t="str">
            <v>Сервер лицензий для Dallas Lock 8.0-К (50 доменов безопасности, 50 терминальных серверов): продление технического сопровождения (3 года). Основной пакет</v>
          </cell>
        </row>
        <row r="28">
          <cell r="A28" t="str">
            <v>Сервер лицензий для Dallas Lock 8.0-К. Право на использование для управления Dallas Lock 8.0-К (без ограничений по количеству доменов безопасности и по количеству терминальных серверов)</v>
          </cell>
        </row>
        <row r="29">
          <cell r="A29" t="str">
            <v>Сервер лицензий для Dallas Lock 8.0-К (50 доменов безопасности, 50 терминальных серверов): продление технического сопровождения (3 года). Основной пакет</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7" Type="http://schemas.openxmlformats.org/officeDocument/2006/relationships/ctrlProp" Target="../ctrlProps/ctrlProp71.xml"/><Relationship Id="rId2" Type="http://schemas.openxmlformats.org/officeDocument/2006/relationships/drawing" Target="../drawings/drawing10.xml"/><Relationship Id="rId1" Type="http://schemas.openxmlformats.org/officeDocument/2006/relationships/printerSettings" Target="../printerSettings/printerSettings10.bin"/><Relationship Id="rId6" Type="http://schemas.openxmlformats.org/officeDocument/2006/relationships/ctrlProp" Target="../ctrlProps/ctrlProp70.xml"/><Relationship Id="rId5" Type="http://schemas.openxmlformats.org/officeDocument/2006/relationships/ctrlProp" Target="../ctrlProps/ctrlProp69.xml"/><Relationship Id="rId4" Type="http://schemas.openxmlformats.org/officeDocument/2006/relationships/ctrlProp" Target="../ctrlProps/ctrlProp68.xml"/></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76.xml"/><Relationship Id="rId3" Type="http://schemas.openxmlformats.org/officeDocument/2006/relationships/vmlDrawing" Target="../drawings/vmlDrawing10.vml"/><Relationship Id="rId7" Type="http://schemas.openxmlformats.org/officeDocument/2006/relationships/ctrlProp" Target="../ctrlProps/ctrlProp75.xml"/><Relationship Id="rId2" Type="http://schemas.openxmlformats.org/officeDocument/2006/relationships/drawing" Target="../drawings/drawing11.xml"/><Relationship Id="rId1" Type="http://schemas.openxmlformats.org/officeDocument/2006/relationships/printerSettings" Target="../printerSettings/printerSettings11.bin"/><Relationship Id="rId6" Type="http://schemas.openxmlformats.org/officeDocument/2006/relationships/ctrlProp" Target="../ctrlProps/ctrlProp74.xml"/><Relationship Id="rId11" Type="http://schemas.openxmlformats.org/officeDocument/2006/relationships/ctrlProp" Target="../ctrlProps/ctrlProp79.xml"/><Relationship Id="rId5" Type="http://schemas.openxmlformats.org/officeDocument/2006/relationships/ctrlProp" Target="../ctrlProps/ctrlProp73.xml"/><Relationship Id="rId10" Type="http://schemas.openxmlformats.org/officeDocument/2006/relationships/ctrlProp" Target="../ctrlProps/ctrlProp78.xml"/><Relationship Id="rId4" Type="http://schemas.openxmlformats.org/officeDocument/2006/relationships/ctrlProp" Target="../ctrlProps/ctrlProp72.xml"/><Relationship Id="rId9" Type="http://schemas.openxmlformats.org/officeDocument/2006/relationships/ctrlProp" Target="../ctrlProps/ctrlProp77.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2.xml"/><Relationship Id="rId1" Type="http://schemas.openxmlformats.org/officeDocument/2006/relationships/printerSettings" Target="../printerSettings/printerSettings12.bin"/><Relationship Id="rId5" Type="http://schemas.openxmlformats.org/officeDocument/2006/relationships/ctrlProp" Target="../ctrlProps/ctrlProp81.xml"/><Relationship Id="rId4" Type="http://schemas.openxmlformats.org/officeDocument/2006/relationships/ctrlProp" Target="../ctrlProps/ctrlProp80.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8" Type="http://schemas.openxmlformats.org/officeDocument/2006/relationships/printerSettings" Target="../printerSettings/printerSettings14.bin"/><Relationship Id="rId3" Type="http://schemas.openxmlformats.org/officeDocument/2006/relationships/hyperlink" Target="https://dallaslock.ru/products/szi-nsd-dallas-lock/szi-ot-nsd-dallas-lock-8-0-s/" TargetMode="External"/><Relationship Id="rId7" Type="http://schemas.openxmlformats.org/officeDocument/2006/relationships/hyperlink" Target="https://dallaslock.ru/products/szi-nsd-dallas-lock-linux/" TargetMode="External"/><Relationship Id="rId2" Type="http://schemas.openxmlformats.org/officeDocument/2006/relationships/hyperlink" Target="https://dallaslock.ru/products/szi-vi-dallas-lock/" TargetMode="External"/><Relationship Id="rId1" Type="http://schemas.openxmlformats.org/officeDocument/2006/relationships/hyperlink" Target="https://dallaslock.ru/products/sdz-dallas-lock/" TargetMode="External"/><Relationship Id="rId6" Type="http://schemas.openxmlformats.org/officeDocument/2006/relationships/hyperlink" Target="https://dallaslock.ru/products/waf-dallas-lock/" TargetMode="External"/><Relationship Id="rId5" Type="http://schemas.openxmlformats.org/officeDocument/2006/relationships/hyperlink" Target="https://dallaslock.ru/products/edinyy-tsentr-upravleniya/" TargetMode="External"/><Relationship Id="rId4" Type="http://schemas.openxmlformats.org/officeDocument/2006/relationships/hyperlink" Target="https://dallaslock.ru/products/szi-dallas-lock-8-0/szi-ot-nsd-dallas-lock-8-0-k/" TargetMode="External"/><Relationship Id="rId9" Type="http://schemas.openxmlformats.org/officeDocument/2006/relationships/drawing" Target="../drawings/drawing14.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8.xml"/><Relationship Id="rId3" Type="http://schemas.openxmlformats.org/officeDocument/2006/relationships/vmlDrawing" Target="../drawings/vmlDrawing2.vml"/><Relationship Id="rId7" Type="http://schemas.openxmlformats.org/officeDocument/2006/relationships/ctrlProp" Target="../ctrlProps/ctrlProp7.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6.xml"/><Relationship Id="rId5" Type="http://schemas.openxmlformats.org/officeDocument/2006/relationships/ctrlProp" Target="../ctrlProps/ctrlProp5.xml"/><Relationship Id="rId10" Type="http://schemas.openxmlformats.org/officeDocument/2006/relationships/ctrlProp" Target="../ctrlProps/ctrlProp10.xml"/><Relationship Id="rId4" Type="http://schemas.openxmlformats.org/officeDocument/2006/relationships/ctrlProp" Target="../ctrlProps/ctrlProp4.xml"/><Relationship Id="rId9" Type="http://schemas.openxmlformats.org/officeDocument/2006/relationships/ctrlProp" Target="../ctrlProps/ctrlProp9.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15.xml"/><Relationship Id="rId13" Type="http://schemas.openxmlformats.org/officeDocument/2006/relationships/ctrlProp" Target="../ctrlProps/ctrlProp20.xml"/><Relationship Id="rId3" Type="http://schemas.openxmlformats.org/officeDocument/2006/relationships/vmlDrawing" Target="../drawings/vmlDrawing3.vml"/><Relationship Id="rId7" Type="http://schemas.openxmlformats.org/officeDocument/2006/relationships/ctrlProp" Target="../ctrlProps/ctrlProp14.xml"/><Relationship Id="rId12" Type="http://schemas.openxmlformats.org/officeDocument/2006/relationships/ctrlProp" Target="../ctrlProps/ctrlProp19.x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trlProp" Target="../ctrlProps/ctrlProp13.xml"/><Relationship Id="rId11" Type="http://schemas.openxmlformats.org/officeDocument/2006/relationships/ctrlProp" Target="../ctrlProps/ctrlProp18.xml"/><Relationship Id="rId5" Type="http://schemas.openxmlformats.org/officeDocument/2006/relationships/ctrlProp" Target="../ctrlProps/ctrlProp12.xml"/><Relationship Id="rId10" Type="http://schemas.openxmlformats.org/officeDocument/2006/relationships/ctrlProp" Target="../ctrlProps/ctrlProp17.xml"/><Relationship Id="rId4" Type="http://schemas.openxmlformats.org/officeDocument/2006/relationships/ctrlProp" Target="../ctrlProps/ctrlProp11.xml"/><Relationship Id="rId9" Type="http://schemas.openxmlformats.org/officeDocument/2006/relationships/ctrlProp" Target="../ctrlProps/ctrlProp16.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25.xml"/><Relationship Id="rId13" Type="http://schemas.openxmlformats.org/officeDocument/2006/relationships/ctrlProp" Target="../ctrlProps/ctrlProp30.xml"/><Relationship Id="rId18" Type="http://schemas.openxmlformats.org/officeDocument/2006/relationships/ctrlProp" Target="../ctrlProps/ctrlProp35.xml"/><Relationship Id="rId3" Type="http://schemas.openxmlformats.org/officeDocument/2006/relationships/vmlDrawing" Target="../drawings/vmlDrawing4.vml"/><Relationship Id="rId7" Type="http://schemas.openxmlformats.org/officeDocument/2006/relationships/ctrlProp" Target="../ctrlProps/ctrlProp24.xml"/><Relationship Id="rId12" Type="http://schemas.openxmlformats.org/officeDocument/2006/relationships/ctrlProp" Target="../ctrlProps/ctrlProp29.xml"/><Relationship Id="rId17" Type="http://schemas.openxmlformats.org/officeDocument/2006/relationships/ctrlProp" Target="../ctrlProps/ctrlProp34.xml"/><Relationship Id="rId2" Type="http://schemas.openxmlformats.org/officeDocument/2006/relationships/drawing" Target="../drawings/drawing5.xml"/><Relationship Id="rId16" Type="http://schemas.openxmlformats.org/officeDocument/2006/relationships/ctrlProp" Target="../ctrlProps/ctrlProp33.xml"/><Relationship Id="rId1" Type="http://schemas.openxmlformats.org/officeDocument/2006/relationships/printerSettings" Target="../printerSettings/printerSettings5.bin"/><Relationship Id="rId6" Type="http://schemas.openxmlformats.org/officeDocument/2006/relationships/ctrlProp" Target="../ctrlProps/ctrlProp23.xml"/><Relationship Id="rId11" Type="http://schemas.openxmlformats.org/officeDocument/2006/relationships/ctrlProp" Target="../ctrlProps/ctrlProp28.xml"/><Relationship Id="rId5" Type="http://schemas.openxmlformats.org/officeDocument/2006/relationships/ctrlProp" Target="../ctrlProps/ctrlProp22.xml"/><Relationship Id="rId15" Type="http://schemas.openxmlformats.org/officeDocument/2006/relationships/ctrlProp" Target="../ctrlProps/ctrlProp32.xml"/><Relationship Id="rId10" Type="http://schemas.openxmlformats.org/officeDocument/2006/relationships/ctrlProp" Target="../ctrlProps/ctrlProp27.xml"/><Relationship Id="rId19" Type="http://schemas.openxmlformats.org/officeDocument/2006/relationships/ctrlProp" Target="../ctrlProps/ctrlProp36.xml"/><Relationship Id="rId4" Type="http://schemas.openxmlformats.org/officeDocument/2006/relationships/ctrlProp" Target="../ctrlProps/ctrlProp21.xml"/><Relationship Id="rId9" Type="http://schemas.openxmlformats.org/officeDocument/2006/relationships/ctrlProp" Target="../ctrlProps/ctrlProp26.xml"/><Relationship Id="rId14" Type="http://schemas.openxmlformats.org/officeDocument/2006/relationships/ctrlProp" Target="../ctrlProps/ctrlProp31.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41.xml"/><Relationship Id="rId13" Type="http://schemas.openxmlformats.org/officeDocument/2006/relationships/ctrlProp" Target="../ctrlProps/ctrlProp46.xml"/><Relationship Id="rId3" Type="http://schemas.openxmlformats.org/officeDocument/2006/relationships/vmlDrawing" Target="../drawings/vmlDrawing5.vml"/><Relationship Id="rId7" Type="http://schemas.openxmlformats.org/officeDocument/2006/relationships/ctrlProp" Target="../ctrlProps/ctrlProp40.xml"/><Relationship Id="rId12" Type="http://schemas.openxmlformats.org/officeDocument/2006/relationships/ctrlProp" Target="../ctrlProps/ctrlProp45.xml"/><Relationship Id="rId2" Type="http://schemas.openxmlformats.org/officeDocument/2006/relationships/drawing" Target="../drawings/drawing6.xml"/><Relationship Id="rId1" Type="http://schemas.openxmlformats.org/officeDocument/2006/relationships/printerSettings" Target="../printerSettings/printerSettings6.bin"/><Relationship Id="rId6" Type="http://schemas.openxmlformats.org/officeDocument/2006/relationships/ctrlProp" Target="../ctrlProps/ctrlProp39.xml"/><Relationship Id="rId11" Type="http://schemas.openxmlformats.org/officeDocument/2006/relationships/ctrlProp" Target="../ctrlProps/ctrlProp44.xml"/><Relationship Id="rId5" Type="http://schemas.openxmlformats.org/officeDocument/2006/relationships/ctrlProp" Target="../ctrlProps/ctrlProp38.xml"/><Relationship Id="rId10" Type="http://schemas.openxmlformats.org/officeDocument/2006/relationships/ctrlProp" Target="../ctrlProps/ctrlProp43.xml"/><Relationship Id="rId4" Type="http://schemas.openxmlformats.org/officeDocument/2006/relationships/ctrlProp" Target="../ctrlProps/ctrlProp37.xml"/><Relationship Id="rId9" Type="http://schemas.openxmlformats.org/officeDocument/2006/relationships/ctrlProp" Target="../ctrlProps/ctrlProp42.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51.xml"/><Relationship Id="rId3" Type="http://schemas.openxmlformats.org/officeDocument/2006/relationships/vmlDrawing" Target="../drawings/vmlDrawing6.vml"/><Relationship Id="rId7" Type="http://schemas.openxmlformats.org/officeDocument/2006/relationships/ctrlProp" Target="../ctrlProps/ctrlProp50.xml"/><Relationship Id="rId2" Type="http://schemas.openxmlformats.org/officeDocument/2006/relationships/drawing" Target="../drawings/drawing7.xml"/><Relationship Id="rId1" Type="http://schemas.openxmlformats.org/officeDocument/2006/relationships/printerSettings" Target="../printerSettings/printerSettings7.bin"/><Relationship Id="rId6" Type="http://schemas.openxmlformats.org/officeDocument/2006/relationships/ctrlProp" Target="../ctrlProps/ctrlProp49.xml"/><Relationship Id="rId5" Type="http://schemas.openxmlformats.org/officeDocument/2006/relationships/ctrlProp" Target="../ctrlProps/ctrlProp48.xml"/><Relationship Id="rId10" Type="http://schemas.openxmlformats.org/officeDocument/2006/relationships/ctrlProp" Target="../ctrlProps/ctrlProp53.xml"/><Relationship Id="rId4" Type="http://schemas.openxmlformats.org/officeDocument/2006/relationships/ctrlProp" Target="../ctrlProps/ctrlProp47.xml"/><Relationship Id="rId9" Type="http://schemas.openxmlformats.org/officeDocument/2006/relationships/ctrlProp" Target="../ctrlProps/ctrlProp52.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7" Type="http://schemas.openxmlformats.org/officeDocument/2006/relationships/ctrlProp" Target="../ctrlProps/ctrlProp57.xml"/><Relationship Id="rId2" Type="http://schemas.openxmlformats.org/officeDocument/2006/relationships/drawing" Target="../drawings/drawing8.xml"/><Relationship Id="rId1" Type="http://schemas.openxmlformats.org/officeDocument/2006/relationships/printerSettings" Target="../printerSettings/printerSettings8.bin"/><Relationship Id="rId6" Type="http://schemas.openxmlformats.org/officeDocument/2006/relationships/ctrlProp" Target="../ctrlProps/ctrlProp56.xml"/><Relationship Id="rId5" Type="http://schemas.openxmlformats.org/officeDocument/2006/relationships/ctrlProp" Target="../ctrlProps/ctrlProp55.xml"/><Relationship Id="rId4" Type="http://schemas.openxmlformats.org/officeDocument/2006/relationships/ctrlProp" Target="../ctrlProps/ctrlProp54.x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62.xml"/><Relationship Id="rId13" Type="http://schemas.openxmlformats.org/officeDocument/2006/relationships/ctrlProp" Target="../ctrlProps/ctrlProp67.xml"/><Relationship Id="rId3" Type="http://schemas.openxmlformats.org/officeDocument/2006/relationships/vmlDrawing" Target="../drawings/vmlDrawing8.vml"/><Relationship Id="rId7" Type="http://schemas.openxmlformats.org/officeDocument/2006/relationships/ctrlProp" Target="../ctrlProps/ctrlProp61.xml"/><Relationship Id="rId12" Type="http://schemas.openxmlformats.org/officeDocument/2006/relationships/ctrlProp" Target="../ctrlProps/ctrlProp66.xml"/><Relationship Id="rId2" Type="http://schemas.openxmlformats.org/officeDocument/2006/relationships/drawing" Target="../drawings/drawing9.xml"/><Relationship Id="rId1" Type="http://schemas.openxmlformats.org/officeDocument/2006/relationships/printerSettings" Target="../printerSettings/printerSettings9.bin"/><Relationship Id="rId6" Type="http://schemas.openxmlformats.org/officeDocument/2006/relationships/ctrlProp" Target="../ctrlProps/ctrlProp60.xml"/><Relationship Id="rId11" Type="http://schemas.openxmlformats.org/officeDocument/2006/relationships/ctrlProp" Target="../ctrlProps/ctrlProp65.xml"/><Relationship Id="rId5" Type="http://schemas.openxmlformats.org/officeDocument/2006/relationships/ctrlProp" Target="../ctrlProps/ctrlProp59.xml"/><Relationship Id="rId10" Type="http://schemas.openxmlformats.org/officeDocument/2006/relationships/ctrlProp" Target="../ctrlProps/ctrlProp64.xml"/><Relationship Id="rId4" Type="http://schemas.openxmlformats.org/officeDocument/2006/relationships/ctrlProp" Target="../ctrlProps/ctrlProp58.xml"/><Relationship Id="rId9" Type="http://schemas.openxmlformats.org/officeDocument/2006/relationships/ctrlProp" Target="../ctrlProps/ctrlProp63.xml"/><Relationship Id="rId1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6"/>
  <sheetViews>
    <sheetView showGridLines="0" showRowColHeaders="0" tabSelected="1" zoomScale="85" zoomScaleNormal="85" workbookViewId="0">
      <selection activeCell="O3" sqref="O3"/>
    </sheetView>
  </sheetViews>
  <sheetFormatPr defaultColWidth="9.140625" defaultRowHeight="16.5" thickTop="1" thickBottom="1" x14ac:dyDescent="0.3"/>
  <cols>
    <col min="1" max="1" width="27.140625" style="9" customWidth="1"/>
    <col min="2" max="2" width="69.85546875" style="9" customWidth="1"/>
    <col min="3" max="9" width="10.7109375" style="9" customWidth="1"/>
    <col min="10" max="10" width="10" style="9" customWidth="1"/>
    <col min="11" max="16384" width="9.140625" style="9"/>
  </cols>
  <sheetData>
    <row r="1" spans="1:16" ht="0.75" customHeight="1" thickTop="1" thickBot="1" x14ac:dyDescent="0.3">
      <c r="A1" s="9" t="s">
        <v>271</v>
      </c>
    </row>
    <row r="2" spans="1:16" ht="136.5" customHeight="1" thickTop="1" thickBot="1" x14ac:dyDescent="0.3">
      <c r="A2" s="207" t="s">
        <v>272</v>
      </c>
      <c r="B2" s="208"/>
      <c r="C2" s="208"/>
      <c r="D2" s="208"/>
      <c r="E2" s="208"/>
      <c r="F2" s="208"/>
      <c r="G2" s="208"/>
      <c r="H2" s="208"/>
      <c r="I2" s="208"/>
      <c r="J2" s="209"/>
    </row>
    <row r="3" spans="1:16" thickTop="1" thickBot="1" x14ac:dyDescent="0.3">
      <c r="A3" s="143"/>
      <c r="B3" s="143"/>
      <c r="C3" s="143"/>
      <c r="D3" s="143"/>
      <c r="E3" s="143"/>
      <c r="F3" s="143"/>
      <c r="G3" s="143"/>
      <c r="H3" s="143"/>
      <c r="I3" s="143"/>
      <c r="J3" s="143"/>
    </row>
    <row r="8" spans="1:16" ht="5.25" customHeight="1" thickTop="1" thickBot="1" x14ac:dyDescent="0.3"/>
    <row r="10" spans="1:16" thickTop="1" thickBot="1" x14ac:dyDescent="0.3">
      <c r="A10" s="144" t="s">
        <v>229</v>
      </c>
      <c r="B10" s="145"/>
      <c r="C10" s="145"/>
      <c r="D10" s="145"/>
      <c r="E10" s="145"/>
      <c r="F10" s="145"/>
      <c r="G10" s="145"/>
      <c r="H10" s="145"/>
      <c r="I10" s="145"/>
      <c r="J10" s="146"/>
    </row>
    <row r="14" spans="1:16" thickTop="1" thickBot="1" x14ac:dyDescent="0.3">
      <c r="P14" s="131"/>
    </row>
    <row r="56" spans="13:13" thickTop="1" thickBot="1" x14ac:dyDescent="0.3">
      <c r="M56"/>
    </row>
  </sheetData>
  <mergeCells count="3">
    <mergeCell ref="A3:J3"/>
    <mergeCell ref="A10:J10"/>
    <mergeCell ref="A2:J2"/>
  </mergeCells>
  <pageMargins left="0.59055118110236227" right="0.39370078740157483" top="0.23622047244094491" bottom="0.23622047244094491" header="0.31496062992125984" footer="0.31496062992125984"/>
  <pageSetup paperSize="9" scale="50"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R84"/>
  <sheetViews>
    <sheetView showGridLines="0" showRowColHeaders="0" zoomScaleNormal="100" workbookViewId="0">
      <selection activeCell="D11" sqref="D11"/>
    </sheetView>
  </sheetViews>
  <sheetFormatPr defaultColWidth="9.140625" defaultRowHeight="15" x14ac:dyDescent="0.25"/>
  <cols>
    <col min="1" max="1" width="1.28515625" customWidth="1"/>
    <col min="2" max="2" width="25.85546875" customWidth="1"/>
    <col min="3" max="3" width="59.42578125" customWidth="1"/>
    <col min="4" max="12" width="10.42578125" customWidth="1"/>
    <col min="13" max="13" width="1.42578125" customWidth="1"/>
    <col min="14" max="18" width="12.28515625" hidden="1" customWidth="1"/>
  </cols>
  <sheetData>
    <row r="2" spans="1:18" ht="86.1" customHeight="1" x14ac:dyDescent="0.25"/>
    <row r="3" spans="1:18" ht="42" customHeight="1" thickBot="1" x14ac:dyDescent="0.5">
      <c r="B3" s="25" t="s">
        <v>149</v>
      </c>
      <c r="F3" s="139" t="s">
        <v>62</v>
      </c>
    </row>
    <row r="4" spans="1:18" ht="26.25" customHeight="1" thickTop="1" thickBot="1" x14ac:dyDescent="0.3">
      <c r="B4" s="150" t="s">
        <v>3</v>
      </c>
      <c r="C4" s="152" t="s">
        <v>0</v>
      </c>
      <c r="D4" s="171" t="s">
        <v>250</v>
      </c>
      <c r="E4" s="154"/>
      <c r="F4" s="154"/>
      <c r="G4" s="154"/>
      <c r="H4" s="154"/>
      <c r="I4" s="154"/>
      <c r="J4" s="154"/>
      <c r="K4" s="154"/>
      <c r="L4" s="155"/>
    </row>
    <row r="5" spans="1:18" ht="25.5" customHeight="1" thickTop="1" thickBot="1" x14ac:dyDescent="0.3">
      <c r="B5" s="151"/>
      <c r="C5" s="153"/>
      <c r="D5" s="1" t="s">
        <v>1</v>
      </c>
      <c r="E5" s="1" t="s">
        <v>27</v>
      </c>
      <c r="F5" s="2" t="s">
        <v>28</v>
      </c>
      <c r="G5" s="1" t="s">
        <v>29</v>
      </c>
      <c r="H5" s="2" t="s">
        <v>30</v>
      </c>
      <c r="I5" s="1" t="s">
        <v>31</v>
      </c>
      <c r="J5" s="1" t="s">
        <v>32</v>
      </c>
      <c r="K5" s="1" t="s">
        <v>26</v>
      </c>
      <c r="L5" s="3" t="s">
        <v>25</v>
      </c>
    </row>
    <row r="6" spans="1:18" ht="3" customHeight="1" thickTop="1" x14ac:dyDescent="0.25"/>
    <row r="7" spans="1:18" ht="16.5" customHeight="1" thickBot="1" x14ac:dyDescent="0.3">
      <c r="A7" s="18"/>
      <c r="B7" s="19" t="s">
        <v>241</v>
      </c>
      <c r="C7" s="18"/>
      <c r="D7" s="29" t="s">
        <v>269</v>
      </c>
      <c r="E7" s="29"/>
      <c r="F7" s="29"/>
      <c r="G7" s="18"/>
      <c r="H7" s="18"/>
      <c r="I7" s="18"/>
      <c r="J7" s="18"/>
      <c r="K7" s="18"/>
      <c r="L7" s="29" t="s">
        <v>73</v>
      </c>
      <c r="M7" s="18"/>
      <c r="O7" t="b">
        <v>0</v>
      </c>
      <c r="P7" s="36">
        <f>IF(O7,1.75,1)*IF(Q7,1.1,1)</f>
        <v>1</v>
      </c>
      <c r="Q7" t="b">
        <v>0</v>
      </c>
      <c r="R7" s="36">
        <f>IF(O7,IF(Q7,1.6,1.35),IF(Q7,1.1,1))</f>
        <v>1</v>
      </c>
    </row>
    <row r="8" spans="1:18" ht="45.75" customHeight="1" thickTop="1" thickBot="1" x14ac:dyDescent="0.3">
      <c r="A8" s="18"/>
      <c r="B8" s="33" t="str">
        <f>IF($Q$7,IF($O$7,"DLW.S.UTM-NAC.0.36M247","DLW.S.UTM-NAC.0.12М247"),IF($O$7,"DLW.S.UTM-NAC.0.36M","DLW.S.UTM-NAC.0.12М"))</f>
        <v>DLW.S.UTM-NAC.0.12М</v>
      </c>
      <c r="C8" s="46" t="s">
        <v>242</v>
      </c>
      <c r="D8" s="135">
        <f>$P$7*150000</f>
        <v>150000</v>
      </c>
      <c r="E8" s="135">
        <f>$P$7*150000</f>
        <v>150000</v>
      </c>
      <c r="F8" s="135">
        <f>$P$7*150000</f>
        <v>150000</v>
      </c>
      <c r="G8" s="5" t="s">
        <v>243</v>
      </c>
      <c r="H8" s="5" t="s">
        <v>243</v>
      </c>
      <c r="I8" s="5" t="s">
        <v>243</v>
      </c>
      <c r="J8" s="5" t="s">
        <v>243</v>
      </c>
      <c r="K8" s="5" t="s">
        <v>243</v>
      </c>
      <c r="L8" s="5" t="s">
        <v>243</v>
      </c>
      <c r="M8" s="18"/>
    </row>
    <row r="9" spans="1:18" ht="51" customHeight="1" thickTop="1" thickBot="1" x14ac:dyDescent="0.3">
      <c r="A9" s="18"/>
      <c r="B9" s="26" t="str">
        <f>IF($Q$7,IF($O$7,"DLW.S.UTM.1.36M247","DLW.S.UTM.1.12М247"),IF($O$7,"DLW.S.UTM.1.36M","DLW.S.UTM.1.12М"))</f>
        <v>DLW.S.UTM.1.12М</v>
      </c>
      <c r="C9" s="8" t="s">
        <v>251</v>
      </c>
      <c r="D9" s="10" t="s">
        <v>243</v>
      </c>
      <c r="E9" s="10" t="s">
        <v>243</v>
      </c>
      <c r="F9" s="10" t="s">
        <v>243</v>
      </c>
      <c r="G9" s="137">
        <f t="shared" ref="G9:L9" si="0">$P$7*650000</f>
        <v>650000</v>
      </c>
      <c r="H9" s="137">
        <f t="shared" si="0"/>
        <v>650000</v>
      </c>
      <c r="I9" s="137">
        <f t="shared" si="0"/>
        <v>650000</v>
      </c>
      <c r="J9" s="137">
        <f t="shared" si="0"/>
        <v>650000</v>
      </c>
      <c r="K9" s="137">
        <f t="shared" si="0"/>
        <v>650000</v>
      </c>
      <c r="L9" s="137">
        <f t="shared" si="0"/>
        <v>650000</v>
      </c>
      <c r="M9" s="18"/>
    </row>
    <row r="10" spans="1:18" ht="59.25" customHeight="1" thickTop="1" thickBot="1" x14ac:dyDescent="0.3">
      <c r="A10" s="18"/>
      <c r="B10" s="33" t="str">
        <f>IF($Q$7,IF($O$7,"DLW.S.UTM.3.36M247","DLW.S.UTM.3.12М247"),IF($O$7,"DLW.S.UTM.3.36M","DLW.S.UTM.3.12М"))</f>
        <v>DLW.S.UTM.3.12М</v>
      </c>
      <c r="C10" s="46" t="s">
        <v>252</v>
      </c>
      <c r="D10" s="5" t="s">
        <v>243</v>
      </c>
      <c r="E10" s="5" t="s">
        <v>243</v>
      </c>
      <c r="F10" s="5" t="s">
        <v>243</v>
      </c>
      <c r="G10" s="5" t="s">
        <v>243</v>
      </c>
      <c r="H10" s="5" t="s">
        <v>243</v>
      </c>
      <c r="I10" s="5" t="s">
        <v>243</v>
      </c>
      <c r="J10" s="136">
        <f>$P$7*1710000</f>
        <v>1710000</v>
      </c>
      <c r="K10" s="136">
        <f>$P$7*1710000</f>
        <v>1710000</v>
      </c>
      <c r="L10" s="136">
        <f>$P$7*1710000</f>
        <v>1710000</v>
      </c>
      <c r="M10" s="18"/>
    </row>
    <row r="11" spans="1:18" ht="50.25" customHeight="1" thickTop="1" thickBot="1" x14ac:dyDescent="0.3">
      <c r="A11" s="18"/>
      <c r="B11" s="26" t="str">
        <f>IF($Q$7,IF($O$7,"DLМC.C.NAC.x.36M247","DLМC.C.NAC.x.12М247"),IF($O$7,"DLМC.C.NAC.x.36M","DLМC.C.NAC.x.12М"))</f>
        <v>DLМC.C.NAC.x.12М</v>
      </c>
      <c r="C11" s="8" t="s">
        <v>265</v>
      </c>
      <c r="D11" s="10">
        <f>$R$7*4700</f>
        <v>4700</v>
      </c>
      <c r="E11" s="10">
        <f>$R$7*4700</f>
        <v>4700</v>
      </c>
      <c r="F11" s="10">
        <f>$R$7*4400</f>
        <v>4400</v>
      </c>
      <c r="G11" s="137">
        <f>$R$7*4000</f>
        <v>4000</v>
      </c>
      <c r="H11" s="137">
        <f>$R$7*3400</f>
        <v>3400</v>
      </c>
      <c r="I11" s="137">
        <f>$R$7*3100</f>
        <v>3100</v>
      </c>
      <c r="J11" s="137">
        <f>$R$7*2900</f>
        <v>2900</v>
      </c>
      <c r="K11" s="137">
        <f>$R$7*2700</f>
        <v>2700</v>
      </c>
      <c r="L11" s="137" t="s">
        <v>2</v>
      </c>
      <c r="M11" s="18"/>
    </row>
    <row r="12" spans="1:18" ht="10.5" customHeight="1" thickTop="1" x14ac:dyDescent="0.25">
      <c r="A12" s="18"/>
      <c r="B12" s="18"/>
      <c r="C12" s="18"/>
      <c r="D12" s="18"/>
      <c r="E12" s="18"/>
      <c r="F12" s="18"/>
      <c r="G12" s="18"/>
      <c r="H12" s="18"/>
      <c r="I12" s="18"/>
      <c r="J12" s="18"/>
      <c r="K12" s="18"/>
      <c r="L12" s="18"/>
      <c r="M12" s="18"/>
    </row>
    <row r="13" spans="1:18" ht="10.5" customHeight="1" x14ac:dyDescent="0.25"/>
    <row r="14" spans="1:18" ht="18" customHeight="1" thickBot="1" x14ac:dyDescent="0.3">
      <c r="A14" s="141"/>
      <c r="B14" s="142" t="s">
        <v>244</v>
      </c>
      <c r="C14" s="141"/>
      <c r="D14" s="140" t="s">
        <v>270</v>
      </c>
      <c r="E14" s="140"/>
      <c r="F14" s="140"/>
      <c r="G14" s="141"/>
      <c r="H14" s="141"/>
      <c r="I14" s="141"/>
      <c r="J14" s="141"/>
      <c r="K14" s="141"/>
      <c r="L14" s="140" t="s">
        <v>73</v>
      </c>
      <c r="M14" s="18"/>
      <c r="O14" t="b">
        <v>0</v>
      </c>
      <c r="P14" s="36">
        <f>IF(O14,2.2,1)*IF(Q14,1.1,1)</f>
        <v>1</v>
      </c>
      <c r="Q14" t="b">
        <v>0</v>
      </c>
    </row>
    <row r="15" spans="1:18" ht="60" customHeight="1" thickTop="1" thickBot="1" x14ac:dyDescent="0.3">
      <c r="A15" s="18"/>
      <c r="B15" s="26" t="str">
        <f>IF(O14,IF(Q14,"DLW.S.UTM-NAC.0.3Y247","DLW.S.UTM-NAC.0.3Y"),IF(Q14,"DLW.S.UTM-NAC.0.1Y247","DLW.S.UTM-NAC.0.1Y"))</f>
        <v>DLW.S.UTM-NAC.0.1Y</v>
      </c>
      <c r="C15" s="8" t="s">
        <v>245</v>
      </c>
      <c r="D15" s="137">
        <f>$P$14*100000</f>
        <v>100000</v>
      </c>
      <c r="E15" s="137">
        <f>$P$14*100000</f>
        <v>100000</v>
      </c>
      <c r="F15" s="137">
        <f>$P$14*100000</f>
        <v>100000</v>
      </c>
      <c r="G15" s="10" t="s">
        <v>243</v>
      </c>
      <c r="H15" s="10" t="s">
        <v>243</v>
      </c>
      <c r="I15" s="10" t="s">
        <v>243</v>
      </c>
      <c r="J15" s="10" t="s">
        <v>243</v>
      </c>
      <c r="K15" s="10" t="s">
        <v>243</v>
      </c>
      <c r="L15" s="10" t="s">
        <v>243</v>
      </c>
      <c r="M15" s="18"/>
    </row>
    <row r="16" spans="1:18" ht="45" customHeight="1" thickTop="1" thickBot="1" x14ac:dyDescent="0.3">
      <c r="A16" s="18"/>
      <c r="B16" s="33" t="str">
        <f>IF(O14,IF(Q14,"DLW.S.UTM.1.3Y247","DLW.S.UTM.1.3Y"),IF(Q14,"DLW.S.UTM.1.1Y247","DLW.S.UTM.1.1Y"))</f>
        <v>DLW.S.UTM.1.1Y</v>
      </c>
      <c r="C16" s="46" t="s">
        <v>259</v>
      </c>
      <c r="D16" s="5" t="s">
        <v>243</v>
      </c>
      <c r="E16" s="5" t="s">
        <v>243</v>
      </c>
      <c r="F16" s="5" t="s">
        <v>243</v>
      </c>
      <c r="G16" s="135">
        <f t="shared" ref="G16:L16" si="1">$P$14*450000</f>
        <v>450000</v>
      </c>
      <c r="H16" s="135">
        <f t="shared" si="1"/>
        <v>450000</v>
      </c>
      <c r="I16" s="135">
        <f t="shared" si="1"/>
        <v>450000</v>
      </c>
      <c r="J16" s="135">
        <f t="shared" si="1"/>
        <v>450000</v>
      </c>
      <c r="K16" s="135">
        <f t="shared" si="1"/>
        <v>450000</v>
      </c>
      <c r="L16" s="135">
        <f t="shared" si="1"/>
        <v>450000</v>
      </c>
      <c r="M16" s="18"/>
    </row>
    <row r="17" spans="1:13" ht="52.5" customHeight="1" thickTop="1" thickBot="1" x14ac:dyDescent="0.3">
      <c r="A17" s="18"/>
      <c r="B17" s="26" t="str">
        <f>IF(O14,IF(Q14,"DLW.S.UTM.3.3Y247","DLW.S.UTM.3.3Y"),IF(Q14,"DLW.S.UTM.3.1Y247","DLW.S.UTM.3.1Y"))</f>
        <v>DLW.S.UTM.3.1Y</v>
      </c>
      <c r="C17" s="8" t="s">
        <v>260</v>
      </c>
      <c r="D17" s="10" t="s">
        <v>243</v>
      </c>
      <c r="E17" s="10" t="s">
        <v>243</v>
      </c>
      <c r="F17" s="10" t="s">
        <v>243</v>
      </c>
      <c r="G17" s="10" t="s">
        <v>243</v>
      </c>
      <c r="H17" s="10" t="s">
        <v>243</v>
      </c>
      <c r="I17" s="10" t="s">
        <v>243</v>
      </c>
      <c r="J17" s="138">
        <f>$P$14*1260000</f>
        <v>1260000</v>
      </c>
      <c r="K17" s="138">
        <f>$P$14*1260000</f>
        <v>1260000</v>
      </c>
      <c r="L17" s="138">
        <f>$P$14*1260000</f>
        <v>1260000</v>
      </c>
      <c r="M17" s="18"/>
    </row>
    <row r="18" spans="1:13" ht="52.5" customHeight="1" thickTop="1" thickBot="1" x14ac:dyDescent="0.3">
      <c r="A18" s="18"/>
      <c r="B18" s="33" t="str">
        <f>IF(O14,IF(Q14,"DLМC.C.NAC.x.3Y247","DLМC.C.NAC.x.3Y"),IF(Q14,"DLМC.C.NAC.x.1Y247","DLМC.C.NAC.x.1Y"))</f>
        <v>DLМC.C.NAC.x.1Y</v>
      </c>
      <c r="C18" s="46" t="s">
        <v>264</v>
      </c>
      <c r="D18" s="5">
        <f>$P$14*1900</f>
        <v>1900</v>
      </c>
      <c r="E18" s="5">
        <f>$P$14*1900</f>
        <v>1900</v>
      </c>
      <c r="F18" s="5">
        <f>$P$14*1700</f>
        <v>1700</v>
      </c>
      <c r="G18" s="135">
        <f>$P$14*1600</f>
        <v>1600</v>
      </c>
      <c r="H18" s="135">
        <f>$P$14*1500</f>
        <v>1500</v>
      </c>
      <c r="I18" s="135">
        <f>$P$14*1400</f>
        <v>1400</v>
      </c>
      <c r="J18" s="135">
        <f>$P$14*1400</f>
        <v>1400</v>
      </c>
      <c r="K18" s="135">
        <f>$P$14*1400</f>
        <v>1400</v>
      </c>
      <c r="L18" s="135" t="s">
        <v>2</v>
      </c>
      <c r="M18" s="18"/>
    </row>
    <row r="19" spans="1:13" ht="10.5" customHeight="1" thickTop="1" x14ac:dyDescent="0.25">
      <c r="A19" s="18"/>
      <c r="B19" s="18"/>
      <c r="C19" s="18"/>
      <c r="D19" s="18"/>
      <c r="E19" s="18"/>
      <c r="F19" s="18"/>
      <c r="G19" s="18"/>
      <c r="H19" s="18"/>
      <c r="I19" s="18"/>
      <c r="J19" s="18"/>
      <c r="K19" s="18"/>
      <c r="L19" s="18"/>
      <c r="M19" s="18"/>
    </row>
    <row r="20" spans="1:13" ht="10.5" customHeight="1" x14ac:dyDescent="0.25"/>
    <row r="21" spans="1:13" ht="17.25" customHeight="1" thickBot="1" x14ac:dyDescent="0.3">
      <c r="A21" s="18"/>
      <c r="B21" s="19" t="s">
        <v>148</v>
      </c>
      <c r="C21" s="18"/>
      <c r="D21" s="18"/>
      <c r="E21" s="18"/>
      <c r="F21" s="18"/>
      <c r="G21" s="18"/>
      <c r="H21" s="18"/>
      <c r="I21" s="18"/>
      <c r="J21" s="18"/>
      <c r="K21" s="18"/>
      <c r="L21" s="18"/>
      <c r="M21" s="18"/>
    </row>
    <row r="22" spans="1:13" ht="41.25" customHeight="1" thickTop="1" thickBot="1" x14ac:dyDescent="0.3">
      <c r="A22" s="18"/>
      <c r="B22" s="26" t="s">
        <v>109</v>
      </c>
      <c r="C22" s="8" t="s">
        <v>246</v>
      </c>
      <c r="D22" s="147">
        <v>1000</v>
      </c>
      <c r="E22" s="148"/>
      <c r="F22" s="148"/>
      <c r="G22" s="148"/>
      <c r="H22" s="148"/>
      <c r="I22" s="148"/>
      <c r="J22" s="148"/>
      <c r="K22" s="148"/>
      <c r="L22" s="149"/>
      <c r="M22" s="18"/>
    </row>
    <row r="23" spans="1:13" ht="8.25" customHeight="1" thickTop="1" x14ac:dyDescent="0.25">
      <c r="A23" s="18"/>
      <c r="B23" s="18"/>
      <c r="C23" s="18"/>
      <c r="D23" s="18"/>
      <c r="E23" s="18"/>
      <c r="F23" s="18"/>
      <c r="G23" s="18"/>
      <c r="H23" s="18"/>
      <c r="I23" s="18"/>
      <c r="J23" s="18"/>
      <c r="K23" s="18"/>
      <c r="L23" s="18"/>
      <c r="M23" s="18"/>
    </row>
    <row r="24" spans="1:13" ht="10.5" customHeight="1" x14ac:dyDescent="0.25"/>
    <row r="25" spans="1:13" ht="15.75" customHeight="1" thickBot="1" x14ac:dyDescent="0.3">
      <c r="A25" s="18"/>
      <c r="B25" s="19" t="s">
        <v>192</v>
      </c>
      <c r="C25" s="18"/>
      <c r="D25" s="18"/>
      <c r="E25" s="18"/>
      <c r="F25" s="18"/>
      <c r="G25" s="18"/>
      <c r="H25" s="18"/>
      <c r="I25" s="18"/>
      <c r="J25" s="18"/>
      <c r="K25" s="18"/>
      <c r="L25" s="18"/>
      <c r="M25" s="18"/>
    </row>
    <row r="26" spans="1:13" ht="48.75" customHeight="1" thickTop="1" thickBot="1" x14ac:dyDescent="0.3">
      <c r="A26" s="18"/>
      <c r="B26" s="33" t="s">
        <v>168</v>
      </c>
      <c r="C26" s="46" t="s">
        <v>262</v>
      </c>
      <c r="D26" s="172" t="s">
        <v>163</v>
      </c>
      <c r="E26" s="173"/>
      <c r="F26" s="173"/>
      <c r="G26" s="173"/>
      <c r="H26" s="173"/>
      <c r="I26" s="173"/>
      <c r="J26" s="173"/>
      <c r="K26" s="173"/>
      <c r="L26" s="174"/>
      <c r="M26" s="18"/>
    </row>
    <row r="27" spans="1:13" ht="10.5" customHeight="1" thickTop="1" x14ac:dyDescent="0.25">
      <c r="A27" s="18"/>
      <c r="B27" s="18"/>
      <c r="C27" s="18"/>
      <c r="D27" s="18"/>
      <c r="E27" s="18"/>
      <c r="F27" s="18"/>
      <c r="G27" s="18"/>
      <c r="H27" s="18"/>
      <c r="I27" s="18"/>
      <c r="J27" s="18"/>
      <c r="K27" s="18"/>
      <c r="L27" s="18"/>
      <c r="M27" s="18"/>
    </row>
    <row r="28" spans="1:13" ht="10.5" customHeight="1" x14ac:dyDescent="0.25"/>
    <row r="29" spans="1:13" ht="17.25" customHeight="1" thickBot="1" x14ac:dyDescent="0.3">
      <c r="A29" s="18"/>
      <c r="B29" s="19" t="s">
        <v>194</v>
      </c>
      <c r="C29" s="18"/>
      <c r="D29" s="18"/>
      <c r="E29" s="18"/>
      <c r="F29" s="18"/>
      <c r="G29" s="18"/>
      <c r="H29" s="18"/>
      <c r="I29" s="18"/>
      <c r="J29" s="18"/>
      <c r="K29" s="18"/>
      <c r="L29" s="18"/>
      <c r="M29" s="18"/>
    </row>
    <row r="30" spans="1:13" ht="49.5" customHeight="1" thickTop="1" thickBot="1" x14ac:dyDescent="0.3">
      <c r="A30" s="18"/>
      <c r="B30" s="26" t="s">
        <v>169</v>
      </c>
      <c r="C30" s="8" t="s">
        <v>253</v>
      </c>
      <c r="D30" s="176" t="s">
        <v>254</v>
      </c>
      <c r="E30" s="177"/>
      <c r="F30" s="177"/>
      <c r="G30" s="177"/>
      <c r="H30" s="177"/>
      <c r="I30" s="177"/>
      <c r="J30" s="177"/>
      <c r="K30" s="177"/>
      <c r="L30" s="178"/>
      <c r="M30" s="18"/>
    </row>
    <row r="31" spans="1:13" ht="8.25" customHeight="1" thickTop="1" x14ac:dyDescent="0.25">
      <c r="A31" s="18"/>
      <c r="B31" s="18"/>
      <c r="C31" s="18"/>
      <c r="D31" s="18"/>
      <c r="E31" s="18"/>
      <c r="F31" s="18"/>
      <c r="G31" s="18"/>
      <c r="H31" s="18"/>
      <c r="I31" s="18"/>
      <c r="J31" s="18"/>
      <c r="K31" s="18"/>
      <c r="L31" s="18"/>
      <c r="M31" s="18"/>
    </row>
    <row r="32" spans="1:13" ht="10.5" customHeight="1" x14ac:dyDescent="0.25"/>
    <row r="33" spans="1:13" ht="13.5" customHeight="1" thickBot="1" x14ac:dyDescent="0.3">
      <c r="A33" s="18"/>
      <c r="B33" s="19" t="s">
        <v>247</v>
      </c>
      <c r="C33" s="18"/>
      <c r="D33" s="18"/>
      <c r="E33" s="18"/>
      <c r="F33" s="18"/>
      <c r="G33" s="18"/>
      <c r="H33" s="18"/>
      <c r="I33" s="18"/>
      <c r="J33" s="18"/>
      <c r="K33" s="18"/>
      <c r="L33" s="18"/>
      <c r="M33" s="18"/>
    </row>
    <row r="34" spans="1:13" ht="84" customHeight="1" thickTop="1" thickBot="1" x14ac:dyDescent="0.3">
      <c r="A34" s="18"/>
      <c r="B34" s="33" t="s">
        <v>248</v>
      </c>
      <c r="C34" s="46" t="s">
        <v>261</v>
      </c>
      <c r="D34" s="179" t="s">
        <v>263</v>
      </c>
      <c r="E34" s="173"/>
      <c r="F34" s="173"/>
      <c r="G34" s="173"/>
      <c r="H34" s="173"/>
      <c r="I34" s="173"/>
      <c r="J34" s="173"/>
      <c r="K34" s="173"/>
      <c r="L34" s="174"/>
      <c r="M34" s="18"/>
    </row>
    <row r="35" spans="1:13" ht="9" customHeight="1" thickTop="1" x14ac:dyDescent="0.25">
      <c r="A35" s="18"/>
      <c r="B35" s="18"/>
      <c r="C35" s="18"/>
      <c r="D35" s="18"/>
      <c r="E35" s="18"/>
      <c r="F35" s="18"/>
      <c r="G35" s="18"/>
      <c r="H35" s="18"/>
      <c r="I35" s="18"/>
      <c r="J35" s="18"/>
      <c r="K35" s="18"/>
      <c r="L35" s="18"/>
      <c r="M35" s="18"/>
    </row>
    <row r="77" spans="1:17" ht="16.5" customHeight="1" x14ac:dyDescent="0.25">
      <c r="A77" s="16"/>
      <c r="B77" s="17" t="s">
        <v>33</v>
      </c>
      <c r="C77" s="16"/>
      <c r="D77" s="16"/>
      <c r="E77" s="16"/>
      <c r="F77" s="16"/>
      <c r="G77" s="16"/>
      <c r="H77" s="16"/>
      <c r="I77" s="16"/>
      <c r="J77" s="16"/>
      <c r="K77" s="16"/>
      <c r="L77" s="16"/>
      <c r="M77" s="16"/>
      <c r="N77" s="16"/>
      <c r="O77" s="16"/>
      <c r="P77" s="16"/>
      <c r="Q77" s="16"/>
    </row>
    <row r="78" spans="1:17" ht="63" customHeight="1" x14ac:dyDescent="0.25">
      <c r="B78" s="175" t="s">
        <v>255</v>
      </c>
      <c r="C78" s="175"/>
      <c r="D78" s="175"/>
      <c r="E78" s="175"/>
      <c r="F78" s="175"/>
      <c r="G78" s="175"/>
      <c r="H78" s="175"/>
      <c r="I78" s="175"/>
      <c r="J78" s="175"/>
      <c r="K78" s="175"/>
      <c r="L78" s="175"/>
    </row>
    <row r="79" spans="1:17" ht="49.5" customHeight="1" x14ac:dyDescent="0.25">
      <c r="B79" s="175" t="s">
        <v>268</v>
      </c>
      <c r="C79" s="175"/>
      <c r="D79" s="175"/>
      <c r="E79" s="175"/>
      <c r="F79" s="175"/>
      <c r="G79" s="175"/>
      <c r="H79" s="175"/>
      <c r="I79" s="175"/>
      <c r="J79" s="175"/>
      <c r="K79" s="175"/>
      <c r="L79" s="175"/>
    </row>
    <row r="80" spans="1:17" ht="21.75" customHeight="1" x14ac:dyDescent="0.25">
      <c r="B80" s="175" t="s">
        <v>115</v>
      </c>
      <c r="C80" s="175"/>
      <c r="D80" s="175"/>
      <c r="E80" s="175"/>
      <c r="F80" s="175"/>
      <c r="G80" s="175"/>
      <c r="H80" s="175"/>
      <c r="I80" s="175"/>
      <c r="J80" s="175"/>
      <c r="K80" s="175"/>
      <c r="L80" s="175"/>
    </row>
    <row r="81" spans="2:12" ht="62.25" customHeight="1" x14ac:dyDescent="0.25">
      <c r="B81" s="175" t="s">
        <v>256</v>
      </c>
      <c r="C81" s="175"/>
      <c r="D81" s="175"/>
      <c r="E81" s="175"/>
      <c r="F81" s="175"/>
      <c r="G81" s="175"/>
      <c r="H81" s="175"/>
      <c r="I81" s="175"/>
      <c r="J81" s="175"/>
      <c r="K81" s="175"/>
      <c r="L81" s="175"/>
    </row>
    <row r="82" spans="2:12" ht="48" customHeight="1" x14ac:dyDescent="0.25">
      <c r="B82" s="175" t="s">
        <v>257</v>
      </c>
      <c r="C82" s="175"/>
      <c r="D82" s="175"/>
      <c r="E82" s="175"/>
      <c r="F82" s="175"/>
      <c r="G82" s="175"/>
      <c r="H82" s="175"/>
      <c r="I82" s="175"/>
      <c r="J82" s="175"/>
      <c r="K82" s="175"/>
      <c r="L82" s="175"/>
    </row>
    <row r="83" spans="2:12" ht="57.75" customHeight="1" x14ac:dyDescent="0.25">
      <c r="B83" s="175" t="s">
        <v>258</v>
      </c>
      <c r="C83" s="175"/>
      <c r="D83" s="175"/>
      <c r="E83" s="175"/>
      <c r="F83" s="175"/>
      <c r="G83" s="175"/>
      <c r="H83" s="175"/>
      <c r="I83" s="175"/>
      <c r="J83" s="175"/>
      <c r="K83" s="175"/>
      <c r="L83" s="175"/>
    </row>
    <row r="84" spans="2:12" ht="15" customHeight="1" x14ac:dyDescent="0.25">
      <c r="B84" s="175" t="s">
        <v>249</v>
      </c>
      <c r="C84" s="175"/>
      <c r="D84" s="175"/>
      <c r="E84" s="175"/>
      <c r="F84" s="175"/>
      <c r="G84" s="175"/>
      <c r="H84" s="175"/>
      <c r="I84" s="175"/>
      <c r="J84" s="175"/>
      <c r="K84" s="175"/>
      <c r="L84" s="175"/>
    </row>
  </sheetData>
  <mergeCells count="14">
    <mergeCell ref="B4:B5"/>
    <mergeCell ref="C4:C5"/>
    <mergeCell ref="D4:L4"/>
    <mergeCell ref="D22:L22"/>
    <mergeCell ref="D26:L26"/>
    <mergeCell ref="B81:L81"/>
    <mergeCell ref="B82:L82"/>
    <mergeCell ref="B83:L83"/>
    <mergeCell ref="B84:L84"/>
    <mergeCell ref="D30:L30"/>
    <mergeCell ref="D34:L34"/>
    <mergeCell ref="B78:L78"/>
    <mergeCell ref="B79:L79"/>
    <mergeCell ref="B80:L80"/>
  </mergeCells>
  <conditionalFormatting sqref="A8:A12">
    <cfRule type="expression" dxfId="13" priority="51">
      <formula>$P$7&lt;&gt;1</formula>
    </cfRule>
  </conditionalFormatting>
  <conditionalFormatting sqref="A15:A19">
    <cfRule type="expression" dxfId="12" priority="25">
      <formula>$P$14&lt;&gt;1</formula>
    </cfRule>
  </conditionalFormatting>
  <conditionalFormatting sqref="A7:M7">
    <cfRule type="expression" dxfId="11" priority="54">
      <formula>$P$7&lt;&gt;1</formula>
    </cfRule>
  </conditionalFormatting>
  <conditionalFormatting sqref="A12:M12 A11 M11">
    <cfRule type="expression" dxfId="10" priority="28">
      <formula>$P$7&lt;&gt;1</formula>
    </cfRule>
  </conditionalFormatting>
  <conditionalFormatting sqref="A14:M14">
    <cfRule type="expression" dxfId="9" priority="55">
      <formula>$P$14&lt;&gt;1</formula>
    </cfRule>
  </conditionalFormatting>
  <conditionalFormatting sqref="A19:M19 A18 M18">
    <cfRule type="expression" dxfId="8" priority="2">
      <formula>$P$14&lt;&gt;1</formula>
    </cfRule>
  </conditionalFormatting>
  <conditionalFormatting sqref="B12:L12">
    <cfRule type="expression" dxfId="7" priority="29">
      <formula>$P$7&lt;&gt;1</formula>
    </cfRule>
  </conditionalFormatting>
  <conditionalFormatting sqref="B19:L19">
    <cfRule type="expression" dxfId="6" priority="3">
      <formula>$P$14&lt;&gt;1</formula>
    </cfRule>
  </conditionalFormatting>
  <conditionalFormatting sqref="M8:M12">
    <cfRule type="expression" dxfId="5" priority="27">
      <formula>$P$7&lt;&gt;1</formula>
    </cfRule>
  </conditionalFormatting>
  <conditionalFormatting sqref="M15:M19">
    <cfRule type="expression" dxfId="4" priority="1">
      <formula>$P$14&lt;&gt;1</formula>
    </cfRule>
  </conditionalFormatting>
  <pageMargins left="0.59055118110236227" right="0.39370078740157483" top="0.23622047244094491" bottom="0.23622047244094491" header="0.31496062992125984" footer="0.31496062992125984"/>
  <pageSetup paperSize="9" scale="41" orientation="portrait"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67585" r:id="rId4" name="Check Box 1">
              <controlPr defaultSize="0" autoFill="0" autoLine="0" autoPict="0">
                <anchor moveWithCells="1">
                  <from>
                    <xdr:col>2</xdr:col>
                    <xdr:colOff>3752850</xdr:colOff>
                    <xdr:row>6</xdr:row>
                    <xdr:rowOff>0</xdr:rowOff>
                  </from>
                  <to>
                    <xdr:col>2</xdr:col>
                    <xdr:colOff>3933825</xdr:colOff>
                    <xdr:row>6</xdr:row>
                    <xdr:rowOff>190500</xdr:rowOff>
                  </to>
                </anchor>
              </controlPr>
            </control>
          </mc:Choice>
        </mc:AlternateContent>
        <mc:AlternateContent xmlns:mc="http://schemas.openxmlformats.org/markup-compatibility/2006">
          <mc:Choice Requires="x14">
            <control shapeId="67586" r:id="rId5" name="Check Box 2">
              <controlPr defaultSize="0" autoFill="0" autoLine="0" autoPict="0">
                <anchor moveWithCells="1">
                  <from>
                    <xdr:col>10</xdr:col>
                    <xdr:colOff>457200</xdr:colOff>
                    <xdr:row>5</xdr:row>
                    <xdr:rowOff>19050</xdr:rowOff>
                  </from>
                  <to>
                    <xdr:col>11</xdr:col>
                    <xdr:colOff>28575</xdr:colOff>
                    <xdr:row>6</xdr:row>
                    <xdr:rowOff>200025</xdr:rowOff>
                  </to>
                </anchor>
              </controlPr>
            </control>
          </mc:Choice>
        </mc:AlternateContent>
        <mc:AlternateContent xmlns:mc="http://schemas.openxmlformats.org/markup-compatibility/2006">
          <mc:Choice Requires="x14">
            <control shapeId="67587" r:id="rId6" name="Check Box 3">
              <controlPr defaultSize="0" autoFill="0" autoLine="0" autoPict="0">
                <anchor moveWithCells="1">
                  <from>
                    <xdr:col>2</xdr:col>
                    <xdr:colOff>3733800</xdr:colOff>
                    <xdr:row>12</xdr:row>
                    <xdr:rowOff>123825</xdr:rowOff>
                  </from>
                  <to>
                    <xdr:col>3</xdr:col>
                    <xdr:colOff>9525</xdr:colOff>
                    <xdr:row>13</xdr:row>
                    <xdr:rowOff>209550</xdr:rowOff>
                  </to>
                </anchor>
              </controlPr>
            </control>
          </mc:Choice>
        </mc:AlternateContent>
        <mc:AlternateContent xmlns:mc="http://schemas.openxmlformats.org/markup-compatibility/2006">
          <mc:Choice Requires="x14">
            <control shapeId="67588" r:id="rId7" name="Check Box 4">
              <controlPr defaultSize="0" autoFill="0" autoLine="0" autoPict="0">
                <anchor moveWithCells="1">
                  <from>
                    <xdr:col>10</xdr:col>
                    <xdr:colOff>447675</xdr:colOff>
                    <xdr:row>12</xdr:row>
                    <xdr:rowOff>123825</xdr:rowOff>
                  </from>
                  <to>
                    <xdr:col>11</xdr:col>
                    <xdr:colOff>0</xdr:colOff>
                    <xdr:row>14</xdr:row>
                    <xdr:rowOff>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Q125"/>
  <sheetViews>
    <sheetView showGridLines="0" showRowColHeaders="0" topLeftCell="A98" zoomScaleNormal="100" workbookViewId="0">
      <selection activeCell="T122" sqref="T122"/>
    </sheetView>
  </sheetViews>
  <sheetFormatPr defaultColWidth="9.140625" defaultRowHeight="15" x14ac:dyDescent="0.25"/>
  <cols>
    <col min="1" max="1" width="1.28515625" customWidth="1"/>
    <col min="2" max="2" width="25.85546875" customWidth="1"/>
    <col min="3" max="3" width="59.42578125" customWidth="1"/>
    <col min="4" max="11" width="10.5703125" customWidth="1"/>
    <col min="12" max="12" width="11.5703125" customWidth="1"/>
    <col min="13" max="13" width="1.28515625" hidden="1" customWidth="1"/>
    <col min="15" max="15" width="6.5703125" hidden="1" customWidth="1"/>
    <col min="16" max="16" width="4.5703125" hidden="1" customWidth="1"/>
    <col min="17" max="17" width="6.5703125" hidden="1" customWidth="1"/>
  </cols>
  <sheetData>
    <row r="2" spans="1:17" ht="85.5" customHeight="1" x14ac:dyDescent="0.25"/>
    <row r="3" spans="1:17" ht="29.25" thickBot="1" x14ac:dyDescent="0.5">
      <c r="B3" s="34" t="s">
        <v>105</v>
      </c>
      <c r="C3" s="34"/>
      <c r="D3" s="34"/>
      <c r="E3" s="35"/>
      <c r="F3" s="34"/>
      <c r="G3" s="34"/>
      <c r="H3" s="34"/>
      <c r="I3" s="34"/>
      <c r="J3" s="34"/>
      <c r="K3" s="34"/>
      <c r="L3" s="34"/>
    </row>
    <row r="4" spans="1:17" ht="26.25" customHeight="1" thickTop="1" thickBot="1" x14ac:dyDescent="0.3">
      <c r="B4" s="150" t="s">
        <v>3</v>
      </c>
      <c r="C4" s="152" t="s">
        <v>0</v>
      </c>
      <c r="D4" s="154" t="s">
        <v>43</v>
      </c>
      <c r="E4" s="154"/>
      <c r="F4" s="154"/>
      <c r="G4" s="154"/>
      <c r="H4" s="154"/>
      <c r="I4" s="154"/>
      <c r="J4" s="154"/>
      <c r="K4" s="154"/>
      <c r="L4" s="155"/>
    </row>
    <row r="5" spans="1:17" ht="21.75" customHeight="1" thickTop="1" thickBot="1" x14ac:dyDescent="0.3">
      <c r="B5" s="151"/>
      <c r="C5" s="153"/>
      <c r="D5" s="1" t="s">
        <v>1</v>
      </c>
      <c r="E5" s="1" t="s">
        <v>27</v>
      </c>
      <c r="F5" s="2" t="s">
        <v>28</v>
      </c>
      <c r="G5" s="1" t="s">
        <v>29</v>
      </c>
      <c r="H5" s="2" t="s">
        <v>30</v>
      </c>
      <c r="I5" s="1" t="s">
        <v>31</v>
      </c>
      <c r="J5" s="1" t="s">
        <v>32</v>
      </c>
      <c r="K5" s="1" t="s">
        <v>26</v>
      </c>
      <c r="L5" s="3" t="s">
        <v>25</v>
      </c>
    </row>
    <row r="6" spans="1:17" ht="9.75" customHeight="1" thickTop="1" x14ac:dyDescent="0.25">
      <c r="B6" s="13"/>
      <c r="Q6" t="b">
        <v>0</v>
      </c>
    </row>
    <row r="7" spans="1:17" ht="15.75" thickBot="1" x14ac:dyDescent="0.3">
      <c r="A7" s="18"/>
      <c r="B7" s="19" t="s">
        <v>24</v>
      </c>
      <c r="C7" s="18"/>
      <c r="D7" s="29" t="s">
        <v>34</v>
      </c>
      <c r="E7" s="29"/>
      <c r="F7" s="18"/>
      <c r="G7" s="18"/>
      <c r="H7" s="18"/>
      <c r="I7" s="18"/>
      <c r="J7" s="18"/>
      <c r="K7" s="18"/>
      <c r="L7" s="29" t="s">
        <v>73</v>
      </c>
      <c r="M7" s="18"/>
      <c r="O7" t="b">
        <v>0</v>
      </c>
      <c r="P7" s="36">
        <f>IF(O7,IF(Q7,1.6,1.35),IF(Q7,1.1,1))</f>
        <v>1</v>
      </c>
      <c r="Q7" t="b">
        <v>0</v>
      </c>
    </row>
    <row r="8" spans="1:17" ht="41.25" customHeight="1" thickTop="1" thickBot="1" x14ac:dyDescent="0.3">
      <c r="A8" s="18"/>
      <c r="B8" s="14" t="s">
        <v>46</v>
      </c>
      <c r="C8" s="7" t="s">
        <v>44</v>
      </c>
      <c r="D8" s="5">
        <f>$P$7*22000</f>
        <v>22000</v>
      </c>
      <c r="E8" s="5">
        <f>$P$7*33000</f>
        <v>33000</v>
      </c>
      <c r="F8" s="5">
        <f>$P$7*77000</f>
        <v>77000</v>
      </c>
      <c r="G8" s="5">
        <f>$P$7*132000</f>
        <v>132000</v>
      </c>
      <c r="H8" s="5">
        <f>$P$7*220000</f>
        <v>220000</v>
      </c>
      <c r="I8" s="5">
        <f>$P$7*320000</f>
        <v>320000</v>
      </c>
      <c r="J8" s="5">
        <f>$P$7*420000</f>
        <v>420000</v>
      </c>
      <c r="K8" s="5">
        <f>$P$7*495000</f>
        <v>495000</v>
      </c>
      <c r="L8" s="5">
        <f>$P$7*920000</f>
        <v>920000</v>
      </c>
      <c r="M8" s="18"/>
    </row>
    <row r="9" spans="1:17" ht="41.25" customHeight="1" thickTop="1" thickBot="1" x14ac:dyDescent="0.3">
      <c r="A9" s="18"/>
      <c r="B9" s="26" t="s">
        <v>47</v>
      </c>
      <c r="C9" s="8" t="s">
        <v>45</v>
      </c>
      <c r="D9" s="10">
        <f>$P$7*22000</f>
        <v>22000</v>
      </c>
      <c r="E9" s="10">
        <f>$P$7*33000</f>
        <v>33000</v>
      </c>
      <c r="F9" s="10">
        <f>$P$7*77000</f>
        <v>77000</v>
      </c>
      <c r="G9" s="10">
        <f>$P$7*132000</f>
        <v>132000</v>
      </c>
      <c r="H9" s="10">
        <f>$P$7*220000</f>
        <v>220000</v>
      </c>
      <c r="I9" s="10">
        <f>$P$7*320000</f>
        <v>320000</v>
      </c>
      <c r="J9" s="10">
        <f>$P$7*420000</f>
        <v>420000</v>
      </c>
      <c r="K9" s="10">
        <f>$P$7*495000</f>
        <v>495000</v>
      </c>
      <c r="L9" s="10">
        <f>$P$7*920000</f>
        <v>920000</v>
      </c>
      <c r="M9" s="18"/>
    </row>
    <row r="10" spans="1:17" ht="6.75" customHeight="1" thickTop="1" x14ac:dyDescent="0.25">
      <c r="A10" s="18"/>
      <c r="B10" s="20"/>
      <c r="C10" s="18"/>
      <c r="D10" s="18"/>
      <c r="E10" s="18"/>
      <c r="F10" s="18"/>
      <c r="G10" s="18"/>
      <c r="H10" s="18"/>
      <c r="I10" s="18"/>
      <c r="J10" s="18"/>
      <c r="K10" s="18"/>
      <c r="L10" s="18"/>
      <c r="M10" s="18"/>
    </row>
    <row r="11" spans="1:17" ht="70.150000000000006" customHeight="1" x14ac:dyDescent="0.25">
      <c r="B11" s="13"/>
    </row>
    <row r="12" spans="1:17" ht="28.5" x14ac:dyDescent="0.45">
      <c r="B12" s="25" t="s">
        <v>103</v>
      </c>
    </row>
    <row r="13" spans="1:17" x14ac:dyDescent="0.25">
      <c r="B13" t="s">
        <v>48</v>
      </c>
      <c r="M13" s="4"/>
    </row>
    <row r="14" spans="1:17" x14ac:dyDescent="0.25">
      <c r="B14" t="s">
        <v>49</v>
      </c>
      <c r="M14" s="4"/>
    </row>
    <row r="15" spans="1:17" x14ac:dyDescent="0.25">
      <c r="M15" s="4"/>
    </row>
    <row r="16" spans="1:17" ht="28.5" x14ac:dyDescent="0.45">
      <c r="B16" s="25" t="s">
        <v>104</v>
      </c>
    </row>
    <row r="17" spans="1:13" x14ac:dyDescent="0.25">
      <c r="B17" t="s">
        <v>51</v>
      </c>
      <c r="M17" s="4"/>
    </row>
    <row r="18" spans="1:13" x14ac:dyDescent="0.25">
      <c r="B18" t="s">
        <v>52</v>
      </c>
      <c r="M18" s="4"/>
    </row>
    <row r="19" spans="1:13" x14ac:dyDescent="0.25">
      <c r="B19" t="s">
        <v>50</v>
      </c>
      <c r="M19" s="4"/>
    </row>
    <row r="20" spans="1:13" x14ac:dyDescent="0.25">
      <c r="M20" s="4"/>
    </row>
    <row r="21" spans="1:13" x14ac:dyDescent="0.25">
      <c r="A21" s="16"/>
      <c r="B21" s="17" t="s">
        <v>33</v>
      </c>
      <c r="C21" s="16"/>
      <c r="D21" s="16"/>
      <c r="E21" s="16"/>
      <c r="F21" s="16"/>
      <c r="G21" s="16"/>
      <c r="H21" s="16"/>
      <c r="I21" s="16"/>
      <c r="J21" s="16"/>
      <c r="K21" s="16"/>
      <c r="L21" s="16"/>
      <c r="M21" s="16"/>
    </row>
    <row r="22" spans="1:13" x14ac:dyDescent="0.25">
      <c r="M22" s="4"/>
    </row>
    <row r="23" spans="1:13" x14ac:dyDescent="0.25">
      <c r="M23" s="4"/>
    </row>
    <row r="24" spans="1:13" x14ac:dyDescent="0.25">
      <c r="M24" s="4"/>
    </row>
    <row r="25" spans="1:13" x14ac:dyDescent="0.25">
      <c r="M25" s="4"/>
    </row>
    <row r="26" spans="1:13" x14ac:dyDescent="0.25">
      <c r="M26" s="4"/>
    </row>
    <row r="27" spans="1:13" x14ac:dyDescent="0.25">
      <c r="M27" s="4"/>
    </row>
    <row r="28" spans="1:13" x14ac:dyDescent="0.25">
      <c r="M28" s="4"/>
    </row>
    <row r="29" spans="1:13" x14ac:dyDescent="0.25">
      <c r="M29" s="4"/>
    </row>
    <row r="30" spans="1:13" x14ac:dyDescent="0.25">
      <c r="M30" s="4"/>
    </row>
    <row r="31" spans="1:13" x14ac:dyDescent="0.25">
      <c r="M31" s="4"/>
    </row>
    <row r="32" spans="1:13" x14ac:dyDescent="0.25">
      <c r="M32" s="4"/>
    </row>
    <row r="33" spans="13:13" x14ac:dyDescent="0.25">
      <c r="M33" s="4"/>
    </row>
    <row r="34" spans="13:13" x14ac:dyDescent="0.25">
      <c r="M34" s="4"/>
    </row>
    <row r="35" spans="13:13" x14ac:dyDescent="0.25">
      <c r="M35" s="4"/>
    </row>
    <row r="36" spans="13:13" x14ac:dyDescent="0.25">
      <c r="M36" s="4"/>
    </row>
    <row r="37" spans="13:13" x14ac:dyDescent="0.25">
      <c r="M37" s="4"/>
    </row>
    <row r="52" spans="1:15" s="11" customFormat="1" x14ac:dyDescent="0.25">
      <c r="A52"/>
      <c r="B52"/>
      <c r="C52"/>
      <c r="D52"/>
      <c r="E52"/>
      <c r="F52"/>
      <c r="G52"/>
      <c r="H52"/>
      <c r="I52"/>
      <c r="J52"/>
      <c r="K52"/>
      <c r="L52"/>
      <c r="M52"/>
      <c r="N52"/>
      <c r="O52"/>
    </row>
    <row r="53" spans="1:15" s="11" customFormat="1" x14ac:dyDescent="0.25">
      <c r="A53"/>
      <c r="B53"/>
      <c r="C53"/>
      <c r="D53"/>
      <c r="E53"/>
      <c r="F53"/>
      <c r="G53"/>
      <c r="H53"/>
      <c r="I53"/>
      <c r="J53"/>
      <c r="K53"/>
      <c r="L53"/>
      <c r="M53"/>
      <c r="N53"/>
      <c r="O53"/>
    </row>
    <row r="64" spans="1:15" ht="28.5" customHeight="1" thickBot="1" x14ac:dyDescent="0.5">
      <c r="B64" s="34" t="s">
        <v>106</v>
      </c>
      <c r="C64" s="34"/>
      <c r="D64" s="25"/>
      <c r="E64" s="58"/>
      <c r="F64" s="25"/>
      <c r="G64" s="25"/>
      <c r="H64" s="25"/>
      <c r="I64" s="25"/>
      <c r="J64" s="25"/>
      <c r="K64" s="25"/>
    </row>
    <row r="65" spans="1:17" ht="46.5" customHeight="1" thickTop="1" thickBot="1" x14ac:dyDescent="0.3">
      <c r="B65" s="59" t="s">
        <v>3</v>
      </c>
      <c r="C65" s="60" t="s">
        <v>0</v>
      </c>
      <c r="D65" s="156" t="s">
        <v>54</v>
      </c>
      <c r="E65" s="190"/>
      <c r="F65" s="190"/>
      <c r="G65" s="190"/>
      <c r="H65" s="190"/>
      <c r="I65" s="190"/>
      <c r="J65" s="190"/>
      <c r="K65" s="190"/>
      <c r="L65" s="157"/>
    </row>
    <row r="66" spans="1:17" ht="8.25" customHeight="1" thickTop="1" x14ac:dyDescent="0.25"/>
    <row r="67" spans="1:17" ht="15.75" thickBot="1" x14ac:dyDescent="0.3">
      <c r="A67" s="18"/>
      <c r="B67" s="19" t="s">
        <v>24</v>
      </c>
      <c r="C67" s="18"/>
      <c r="D67" s="29" t="s">
        <v>34</v>
      </c>
      <c r="E67" s="29"/>
      <c r="F67" s="18"/>
      <c r="G67" s="18"/>
      <c r="H67" s="18"/>
      <c r="I67" s="18"/>
      <c r="J67" s="18"/>
      <c r="K67" s="39"/>
      <c r="L67" s="29" t="s">
        <v>73</v>
      </c>
      <c r="M67" s="18"/>
      <c r="O67" t="b">
        <v>0</v>
      </c>
      <c r="P67" s="36">
        <f>IF(O67,IF(Q67,1.6,1.35),IF(Q67,1.1,1))</f>
        <v>1</v>
      </c>
      <c r="Q67" t="b">
        <v>0</v>
      </c>
    </row>
    <row r="68" spans="1:17" ht="16.5" thickTop="1" thickBot="1" x14ac:dyDescent="0.3">
      <c r="A68" s="18"/>
      <c r="B68" s="37"/>
      <c r="C68" s="195"/>
      <c r="D68" s="196"/>
      <c r="E68" s="196"/>
      <c r="F68" s="196"/>
      <c r="G68" s="196"/>
      <c r="H68" s="196"/>
      <c r="I68" s="194" t="s">
        <v>64</v>
      </c>
      <c r="J68" s="193"/>
      <c r="K68" s="192" t="s">
        <v>65</v>
      </c>
      <c r="L68" s="193"/>
      <c r="M68" s="18"/>
    </row>
    <row r="69" spans="1:17" ht="41.25" customHeight="1" thickTop="1" thickBot="1" x14ac:dyDescent="0.3">
      <c r="A69" s="18"/>
      <c r="B69" s="32" t="s">
        <v>55</v>
      </c>
      <c r="C69" s="188" t="s">
        <v>11</v>
      </c>
      <c r="D69" s="189"/>
      <c r="E69" s="189"/>
      <c r="F69" s="189"/>
      <c r="G69" s="189"/>
      <c r="H69" s="191"/>
      <c r="I69" s="147">
        <f>$P$67*25000</f>
        <v>25000</v>
      </c>
      <c r="J69" s="149"/>
      <c r="K69" s="147">
        <f>$P$67*30000</f>
        <v>30000</v>
      </c>
      <c r="L69" s="149"/>
      <c r="M69" s="18"/>
    </row>
    <row r="70" spans="1:17" ht="41.25" customHeight="1" thickTop="1" thickBot="1" x14ac:dyDescent="0.3">
      <c r="A70" s="18"/>
      <c r="B70" s="33" t="s">
        <v>56</v>
      </c>
      <c r="C70" s="186" t="s">
        <v>12</v>
      </c>
      <c r="D70" s="187"/>
      <c r="E70" s="187"/>
      <c r="F70" s="187"/>
      <c r="G70" s="187"/>
      <c r="H70" s="187"/>
      <c r="I70" s="164">
        <f>$P$67*100000</f>
        <v>100000</v>
      </c>
      <c r="J70" s="166"/>
      <c r="K70" s="180">
        <f>$P$67*120000</f>
        <v>120000</v>
      </c>
      <c r="L70" s="181"/>
      <c r="M70" s="18"/>
    </row>
    <row r="71" spans="1:17" ht="41.25" customHeight="1" thickTop="1" thickBot="1" x14ac:dyDescent="0.3">
      <c r="A71" s="18"/>
      <c r="B71" s="32" t="s">
        <v>57</v>
      </c>
      <c r="C71" s="188" t="s">
        <v>13</v>
      </c>
      <c r="D71" s="189"/>
      <c r="E71" s="189"/>
      <c r="F71" s="189"/>
      <c r="G71" s="189"/>
      <c r="H71" s="189"/>
      <c r="I71" s="147">
        <f>$P$67*25000</f>
        <v>25000</v>
      </c>
      <c r="J71" s="149"/>
      <c r="K71" s="147">
        <f>$P$67*30000</f>
        <v>30000</v>
      </c>
      <c r="L71" s="149"/>
      <c r="M71" s="18"/>
    </row>
    <row r="72" spans="1:17" ht="41.25" customHeight="1" thickTop="1" thickBot="1" x14ac:dyDescent="0.3">
      <c r="A72" s="18"/>
      <c r="B72" s="33" t="s">
        <v>58</v>
      </c>
      <c r="C72" s="186" t="s">
        <v>14</v>
      </c>
      <c r="D72" s="187"/>
      <c r="E72" s="187"/>
      <c r="F72" s="187"/>
      <c r="G72" s="187"/>
      <c r="H72" s="187"/>
      <c r="I72" s="164">
        <f>$P$67*400000</f>
        <v>400000</v>
      </c>
      <c r="J72" s="166"/>
      <c r="K72" s="182">
        <f>$P$67*480000</f>
        <v>480000</v>
      </c>
      <c r="L72" s="183"/>
      <c r="M72" s="18"/>
    </row>
    <row r="73" spans="1:17" ht="41.25" customHeight="1" thickTop="1" thickBot="1" x14ac:dyDescent="0.3">
      <c r="A73" s="18"/>
      <c r="B73" s="32" t="s">
        <v>59</v>
      </c>
      <c r="C73" s="188" t="s">
        <v>61</v>
      </c>
      <c r="D73" s="189"/>
      <c r="E73" s="189"/>
      <c r="F73" s="189"/>
      <c r="G73" s="189"/>
      <c r="H73" s="189"/>
      <c r="I73" s="147">
        <f>$P$67*800000</f>
        <v>800000</v>
      </c>
      <c r="J73" s="149"/>
      <c r="K73" s="147">
        <f>$P$67*1000000</f>
        <v>1000000</v>
      </c>
      <c r="L73" s="149"/>
      <c r="M73" s="18"/>
    </row>
    <row r="74" spans="1:17" ht="41.25" customHeight="1" thickTop="1" thickBot="1" x14ac:dyDescent="0.3">
      <c r="A74" s="18"/>
      <c r="B74" s="33" t="s">
        <v>60</v>
      </c>
      <c r="C74" s="186" t="s">
        <v>15</v>
      </c>
      <c r="D74" s="187"/>
      <c r="E74" s="187"/>
      <c r="F74" s="187"/>
      <c r="G74" s="187"/>
      <c r="H74" s="187"/>
      <c r="I74" s="164">
        <f>$P$67*1600000</f>
        <v>1600000</v>
      </c>
      <c r="J74" s="166"/>
      <c r="K74" s="184">
        <f>$P$67*2000000</f>
        <v>2000000</v>
      </c>
      <c r="L74" s="185"/>
      <c r="M74" s="18"/>
    </row>
    <row r="75" spans="1:17" ht="6.75" customHeight="1" thickTop="1" x14ac:dyDescent="0.25">
      <c r="A75" s="18"/>
      <c r="B75" s="20"/>
      <c r="C75" s="18"/>
      <c r="D75" s="18"/>
      <c r="E75" s="18"/>
      <c r="F75" s="18"/>
      <c r="G75" s="18"/>
      <c r="H75" s="18"/>
      <c r="I75" s="18"/>
      <c r="J75" s="18"/>
      <c r="K75" s="18"/>
      <c r="L75" s="18"/>
      <c r="M75" s="18"/>
    </row>
    <row r="79" spans="1:17" x14ac:dyDescent="0.25">
      <c r="A79" s="16"/>
      <c r="B79" s="17" t="s">
        <v>33</v>
      </c>
      <c r="C79" s="16"/>
      <c r="D79" s="16"/>
      <c r="E79" s="16"/>
      <c r="F79" s="16"/>
      <c r="G79" s="16"/>
      <c r="H79" s="16"/>
      <c r="I79" s="16"/>
      <c r="J79" s="16"/>
      <c r="K79" s="16"/>
      <c r="L79" s="16"/>
      <c r="M79" s="16"/>
    </row>
    <row r="111" spans="2:12" ht="29.25" thickBot="1" x14ac:dyDescent="0.5">
      <c r="B111" s="34" t="s">
        <v>238</v>
      </c>
      <c r="C111" s="34"/>
      <c r="D111" s="34"/>
      <c r="E111" s="35"/>
      <c r="F111" s="34"/>
      <c r="G111" s="34"/>
      <c r="H111" s="34"/>
      <c r="I111" s="34"/>
      <c r="J111" s="34"/>
      <c r="K111" s="34"/>
      <c r="L111" s="34"/>
    </row>
    <row r="112" spans="2:12" ht="26.25" customHeight="1" thickTop="1" thickBot="1" x14ac:dyDescent="0.3">
      <c r="B112" s="150" t="s">
        <v>3</v>
      </c>
      <c r="C112" s="152" t="s">
        <v>0</v>
      </c>
      <c r="D112" s="154"/>
      <c r="E112" s="154"/>
      <c r="F112" s="154"/>
      <c r="G112" s="154"/>
      <c r="H112" s="154"/>
      <c r="I112" s="154"/>
      <c r="J112" s="154"/>
      <c r="K112" s="154"/>
      <c r="L112" s="155"/>
    </row>
    <row r="113" spans="1:17" ht="21.75" customHeight="1" thickTop="1" thickBot="1" x14ac:dyDescent="0.3">
      <c r="B113" s="151"/>
      <c r="C113" s="153"/>
      <c r="D113" s="1" t="s">
        <v>1</v>
      </c>
      <c r="E113" s="1" t="s">
        <v>27</v>
      </c>
      <c r="F113" s="2" t="s">
        <v>28</v>
      </c>
      <c r="G113" s="1" t="s">
        <v>29</v>
      </c>
      <c r="H113" s="2" t="s">
        <v>30</v>
      </c>
      <c r="I113" s="1" t="s">
        <v>31</v>
      </c>
      <c r="J113" s="1" t="s">
        <v>32</v>
      </c>
      <c r="K113" s="1" t="s">
        <v>26</v>
      </c>
      <c r="L113" s="3" t="s">
        <v>25</v>
      </c>
    </row>
    <row r="114" spans="1:17" ht="9.75" customHeight="1" thickTop="1" x14ac:dyDescent="0.25">
      <c r="B114" s="13"/>
    </row>
    <row r="115" spans="1:17" ht="15.75" thickBot="1" x14ac:dyDescent="0.3">
      <c r="A115" s="18"/>
      <c r="B115" s="19" t="s">
        <v>235</v>
      </c>
      <c r="C115" s="18"/>
      <c r="D115" s="29" t="s">
        <v>34</v>
      </c>
      <c r="E115" s="29"/>
      <c r="F115" s="18"/>
      <c r="G115" s="18"/>
      <c r="H115" s="18"/>
      <c r="I115" s="18"/>
      <c r="J115" s="18"/>
      <c r="K115" s="18"/>
      <c r="L115" s="29" t="s">
        <v>73</v>
      </c>
      <c r="M115" s="18"/>
      <c r="O115" t="b">
        <v>0</v>
      </c>
      <c r="P115" s="36">
        <f>IF(O115,IF(Q115,1.6,1.35),IF(Q115,1.1,1))</f>
        <v>1</v>
      </c>
      <c r="Q115" t="b">
        <v>0</v>
      </c>
    </row>
    <row r="116" spans="1:17" ht="16.5" customHeight="1" thickTop="1" thickBot="1" x14ac:dyDescent="0.3">
      <c r="A116" s="18"/>
      <c r="B116" s="156"/>
      <c r="C116" s="157"/>
      <c r="D116" s="158" t="s">
        <v>236</v>
      </c>
      <c r="E116" s="159"/>
      <c r="F116" s="159"/>
      <c r="G116" s="159"/>
      <c r="H116" s="159"/>
      <c r="I116" s="159"/>
      <c r="J116" s="159"/>
      <c r="K116" s="159"/>
      <c r="L116" s="160"/>
      <c r="M116" s="18"/>
    </row>
    <row r="117" spans="1:17" ht="41.25" customHeight="1" thickTop="1" thickBot="1" x14ac:dyDescent="0.3">
      <c r="A117" s="18"/>
      <c r="B117" s="14" t="str">
        <f>IF($Q$7,IF($O$7,"DLVI.S.Center.x.36M247","DLVI.S.Center.x.12M247"),IF($O$7,"DLVI.S.Center.x.36M","DLVI.S.Center.x.z"))</f>
        <v>DLVI.S.Center.x.z</v>
      </c>
      <c r="C117" s="7" t="s">
        <v>237</v>
      </c>
      <c r="D117" s="5">
        <f>$P$115*7500</f>
        <v>7500</v>
      </c>
      <c r="E117" s="5">
        <f>$P$115*15000</f>
        <v>15000</v>
      </c>
      <c r="F117" s="5">
        <f>$P$115*40000</f>
        <v>40000</v>
      </c>
      <c r="G117" s="5">
        <f>$P$115*65000</f>
        <v>65000</v>
      </c>
      <c r="H117" s="5">
        <f>$P$115*100000</f>
        <v>100000</v>
      </c>
      <c r="I117" s="5">
        <f>$P$115*150000</f>
        <v>150000</v>
      </c>
      <c r="J117" s="5">
        <f>$P$115*200000</f>
        <v>200000</v>
      </c>
      <c r="K117" s="5" t="s">
        <v>2</v>
      </c>
      <c r="L117" s="5" t="s">
        <v>2</v>
      </c>
      <c r="M117" s="18"/>
    </row>
    <row r="118" spans="1:17" ht="6.75" customHeight="1" thickTop="1" x14ac:dyDescent="0.25">
      <c r="A118" s="18"/>
      <c r="B118" s="20"/>
      <c r="C118" s="18"/>
      <c r="D118" s="18"/>
      <c r="E118" s="18"/>
      <c r="F118" s="18"/>
      <c r="G118" s="18"/>
      <c r="H118" s="18"/>
      <c r="I118" s="18"/>
      <c r="J118" s="18"/>
      <c r="K118" s="18"/>
      <c r="L118" s="18"/>
      <c r="M118" s="18"/>
    </row>
    <row r="120" spans="1:17" ht="28.5" x14ac:dyDescent="0.45">
      <c r="A120" s="25"/>
      <c r="B120" s="25" t="s">
        <v>239</v>
      </c>
      <c r="C120" s="25"/>
      <c r="D120" s="25"/>
      <c r="E120" s="25"/>
      <c r="F120" s="25"/>
      <c r="G120" s="25"/>
      <c r="H120" s="25"/>
      <c r="I120" s="25"/>
      <c r="J120" s="25"/>
      <c r="K120" s="25"/>
    </row>
    <row r="121" spans="1:17" ht="18.75" customHeight="1" thickBot="1" x14ac:dyDescent="0.3">
      <c r="A121" s="18"/>
      <c r="B121" s="19" t="s">
        <v>231</v>
      </c>
      <c r="C121" s="18"/>
      <c r="D121" s="29" t="s">
        <v>34</v>
      </c>
      <c r="E121" s="29"/>
      <c r="F121" s="18"/>
      <c r="G121" s="18"/>
      <c r="H121" s="18"/>
      <c r="I121" s="18"/>
      <c r="J121" s="18"/>
      <c r="K121" s="18"/>
      <c r="L121" s="29" t="s">
        <v>73</v>
      </c>
      <c r="M121" s="18"/>
      <c r="O121" t="b">
        <v>0</v>
      </c>
      <c r="P121" s="36">
        <f>IF(O121,IF(Q121,1.6,1.35),IF(Q121,1.1,1))</f>
        <v>1</v>
      </c>
      <c r="Q121" t="b">
        <v>0</v>
      </c>
    </row>
    <row r="122" spans="1:17" ht="41.25" customHeight="1" thickTop="1" thickBot="1" x14ac:dyDescent="0.3">
      <c r="A122" s="18"/>
      <c r="B122" s="14" t="s">
        <v>234</v>
      </c>
      <c r="C122" s="7" t="s">
        <v>232</v>
      </c>
      <c r="D122" s="5">
        <f>$P$121*3600</f>
        <v>3600</v>
      </c>
      <c r="E122" s="5">
        <f>$P$121*3300</f>
        <v>3300</v>
      </c>
      <c r="F122" s="5">
        <f>$P$121*3000</f>
        <v>3000</v>
      </c>
      <c r="G122" s="5">
        <f>$P$121*2600</f>
        <v>2600</v>
      </c>
      <c r="H122" s="5">
        <f>$P$121*2400</f>
        <v>2400</v>
      </c>
      <c r="I122" s="5">
        <f>$P$121*2300</f>
        <v>2300</v>
      </c>
      <c r="J122" s="5">
        <f>$P$121*2200</f>
        <v>2200</v>
      </c>
      <c r="K122" s="5">
        <f>$P$121*2100</f>
        <v>2100</v>
      </c>
      <c r="L122" s="5" t="s">
        <v>2</v>
      </c>
      <c r="M122" s="18"/>
    </row>
    <row r="123" spans="1:17" ht="6.75" customHeight="1" thickTop="1" thickBot="1" x14ac:dyDescent="0.3">
      <c r="A123" s="18"/>
      <c r="B123" s="20"/>
      <c r="C123" s="18"/>
      <c r="D123" s="18"/>
      <c r="E123" s="18"/>
      <c r="F123" s="18"/>
      <c r="G123" s="18"/>
      <c r="H123" s="18"/>
      <c r="I123" s="18"/>
      <c r="J123" s="18"/>
      <c r="K123" s="18"/>
      <c r="L123" s="18"/>
      <c r="M123" s="18"/>
    </row>
    <row r="124" spans="1:17" ht="42" customHeight="1" thickTop="1" thickBot="1" x14ac:dyDescent="0.3">
      <c r="A124" s="18"/>
      <c r="B124" s="14" t="s">
        <v>233</v>
      </c>
      <c r="C124" s="7" t="s">
        <v>230</v>
      </c>
      <c r="D124" s="5">
        <f>$P$121*4500</f>
        <v>4500</v>
      </c>
      <c r="E124" s="5">
        <f>$P$121*4100</f>
        <v>4100</v>
      </c>
      <c r="F124" s="5">
        <f>$P$121*3700</f>
        <v>3700</v>
      </c>
      <c r="G124" s="5">
        <f>$P$121*3300</f>
        <v>3300</v>
      </c>
      <c r="H124" s="5">
        <f>$P$121*3000</f>
        <v>3000</v>
      </c>
      <c r="I124" s="5">
        <f>$P$121*2900</f>
        <v>2900</v>
      </c>
      <c r="J124" s="5">
        <f>$P$121*2800</f>
        <v>2800</v>
      </c>
      <c r="K124" s="5">
        <f>$P$121*2600</f>
        <v>2600</v>
      </c>
      <c r="L124" s="5" t="s">
        <v>2</v>
      </c>
      <c r="M124" s="18"/>
    </row>
    <row r="125" spans="1:17" ht="10.5" customHeight="1" thickTop="1" x14ac:dyDescent="0.25">
      <c r="A125" s="18"/>
      <c r="B125" s="20"/>
      <c r="C125" s="18"/>
      <c r="D125" s="18"/>
      <c r="E125" s="18"/>
      <c r="F125" s="18"/>
      <c r="G125" s="18"/>
      <c r="H125" s="18"/>
      <c r="I125" s="18"/>
      <c r="J125" s="18"/>
      <c r="K125" s="18"/>
      <c r="L125" s="18"/>
      <c r="M125" s="18"/>
    </row>
  </sheetData>
  <mergeCells count="30">
    <mergeCell ref="B4:B5"/>
    <mergeCell ref="C4:C5"/>
    <mergeCell ref="D4:L4"/>
    <mergeCell ref="D65:L65"/>
    <mergeCell ref="C69:H69"/>
    <mergeCell ref="K68:L68"/>
    <mergeCell ref="K69:L69"/>
    <mergeCell ref="I69:J69"/>
    <mergeCell ref="I68:J68"/>
    <mergeCell ref="C68:H68"/>
    <mergeCell ref="C70:H70"/>
    <mergeCell ref="C71:H71"/>
    <mergeCell ref="C72:H72"/>
    <mergeCell ref="C73:H73"/>
    <mergeCell ref="C74:H74"/>
    <mergeCell ref="K70:L70"/>
    <mergeCell ref="K71:L71"/>
    <mergeCell ref="K72:L72"/>
    <mergeCell ref="K73:L73"/>
    <mergeCell ref="K74:L74"/>
    <mergeCell ref="I70:J70"/>
    <mergeCell ref="I71:J71"/>
    <mergeCell ref="I72:J72"/>
    <mergeCell ref="I73:J73"/>
    <mergeCell ref="I74:J74"/>
    <mergeCell ref="B112:B113"/>
    <mergeCell ref="C112:C113"/>
    <mergeCell ref="D112:L112"/>
    <mergeCell ref="B116:C116"/>
    <mergeCell ref="D116:L116"/>
  </mergeCells>
  <conditionalFormatting sqref="A67:M67 A68:A74 M68:M74 A75:M75">
    <cfRule type="expression" dxfId="3" priority="4">
      <formula>$P$7&lt;&gt;1</formula>
    </cfRule>
  </conditionalFormatting>
  <conditionalFormatting sqref="A115:M115 A116:A117 M116:M117 A118:M118">
    <cfRule type="expression" dxfId="2" priority="5">
      <formula>$P$115&lt;&gt;1</formula>
    </cfRule>
  </conditionalFormatting>
  <conditionalFormatting sqref="A121:M121 A122:A124 M122:M124 B123:L123 A125:M125">
    <cfRule type="expression" dxfId="1" priority="7">
      <formula>$P$121&gt;1</formula>
    </cfRule>
  </conditionalFormatting>
  <pageMargins left="0.59055118110236227" right="0.39370078740157483" top="0.23622047244094491" bottom="0.23622047244094491" header="0.31496062992125984" footer="0.31496062992125984"/>
  <pageSetup paperSize="9" scale="31" orientation="portrait" r:id="rId1"/>
  <ignoredErrors>
    <ignoredError sqref="P7"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14337" r:id="rId4" name="Check Box 1">
              <controlPr defaultSize="0" autoFill="0" autoLine="0" autoPict="0">
                <anchor moveWithCells="1">
                  <from>
                    <xdr:col>2</xdr:col>
                    <xdr:colOff>3762375</xdr:colOff>
                    <xdr:row>5</xdr:row>
                    <xdr:rowOff>95250</xdr:rowOff>
                  </from>
                  <to>
                    <xdr:col>3</xdr:col>
                    <xdr:colOff>0</xdr:colOff>
                    <xdr:row>7</xdr:row>
                    <xdr:rowOff>28575</xdr:rowOff>
                  </to>
                </anchor>
              </controlPr>
            </control>
          </mc:Choice>
        </mc:AlternateContent>
        <mc:AlternateContent xmlns:mc="http://schemas.openxmlformats.org/markup-compatibility/2006">
          <mc:Choice Requires="x14">
            <control shapeId="14338" r:id="rId5" name="Check Box 2">
              <controlPr defaultSize="0" autoFill="0" autoLine="0" autoPict="0">
                <anchor moveWithCells="1">
                  <from>
                    <xdr:col>10</xdr:col>
                    <xdr:colOff>533400</xdr:colOff>
                    <xdr:row>5</xdr:row>
                    <xdr:rowOff>95250</xdr:rowOff>
                  </from>
                  <to>
                    <xdr:col>11</xdr:col>
                    <xdr:colOff>76200</xdr:colOff>
                    <xdr:row>7</xdr:row>
                    <xdr:rowOff>9525</xdr:rowOff>
                  </to>
                </anchor>
              </controlPr>
            </control>
          </mc:Choice>
        </mc:AlternateContent>
        <mc:AlternateContent xmlns:mc="http://schemas.openxmlformats.org/markup-compatibility/2006">
          <mc:Choice Requires="x14">
            <control shapeId="14341" r:id="rId6" name="Check Box 5">
              <controlPr defaultSize="0" autoFill="0" autoLine="0" autoPict="0">
                <anchor moveWithCells="1">
                  <from>
                    <xdr:col>2</xdr:col>
                    <xdr:colOff>3724275</xdr:colOff>
                    <xdr:row>65</xdr:row>
                    <xdr:rowOff>85725</xdr:rowOff>
                  </from>
                  <to>
                    <xdr:col>3</xdr:col>
                    <xdr:colOff>0</xdr:colOff>
                    <xdr:row>67</xdr:row>
                    <xdr:rowOff>19050</xdr:rowOff>
                  </to>
                </anchor>
              </controlPr>
            </control>
          </mc:Choice>
        </mc:AlternateContent>
        <mc:AlternateContent xmlns:mc="http://schemas.openxmlformats.org/markup-compatibility/2006">
          <mc:Choice Requires="x14">
            <control shapeId="14342" r:id="rId7" name="Check Box 6">
              <controlPr defaultSize="0" autoFill="0" autoLine="0" autoPict="0">
                <anchor moveWithCells="1">
                  <from>
                    <xdr:col>10</xdr:col>
                    <xdr:colOff>533400</xdr:colOff>
                    <xdr:row>65</xdr:row>
                    <xdr:rowOff>85725</xdr:rowOff>
                  </from>
                  <to>
                    <xdr:col>11</xdr:col>
                    <xdr:colOff>95250</xdr:colOff>
                    <xdr:row>67</xdr:row>
                    <xdr:rowOff>19050</xdr:rowOff>
                  </to>
                </anchor>
              </controlPr>
            </control>
          </mc:Choice>
        </mc:AlternateContent>
        <mc:AlternateContent xmlns:mc="http://schemas.openxmlformats.org/markup-compatibility/2006">
          <mc:Choice Requires="x14">
            <control shapeId="14344" r:id="rId8" name="Check Box 8">
              <controlPr defaultSize="0" autoFill="0" autoLine="0" autoPict="0">
                <anchor moveWithCells="1">
                  <from>
                    <xdr:col>2</xdr:col>
                    <xdr:colOff>3752850</xdr:colOff>
                    <xdr:row>120</xdr:row>
                    <xdr:rowOff>0</xdr:rowOff>
                  </from>
                  <to>
                    <xdr:col>2</xdr:col>
                    <xdr:colOff>3952875</xdr:colOff>
                    <xdr:row>121</xdr:row>
                    <xdr:rowOff>19050</xdr:rowOff>
                  </to>
                </anchor>
              </controlPr>
            </control>
          </mc:Choice>
        </mc:AlternateContent>
        <mc:AlternateContent xmlns:mc="http://schemas.openxmlformats.org/markup-compatibility/2006">
          <mc:Choice Requires="x14">
            <control shapeId="14345" r:id="rId9" name="Check Box 9">
              <controlPr defaultSize="0" autoFill="0" autoLine="0" autoPict="0">
                <anchor moveWithCells="1">
                  <from>
                    <xdr:col>10</xdr:col>
                    <xdr:colOff>533400</xdr:colOff>
                    <xdr:row>120</xdr:row>
                    <xdr:rowOff>19050</xdr:rowOff>
                  </from>
                  <to>
                    <xdr:col>11</xdr:col>
                    <xdr:colOff>76200</xdr:colOff>
                    <xdr:row>121</xdr:row>
                    <xdr:rowOff>19050</xdr:rowOff>
                  </to>
                </anchor>
              </controlPr>
            </control>
          </mc:Choice>
        </mc:AlternateContent>
        <mc:AlternateContent xmlns:mc="http://schemas.openxmlformats.org/markup-compatibility/2006">
          <mc:Choice Requires="x14">
            <control shapeId="14346" r:id="rId10" name="Check Box 10">
              <controlPr defaultSize="0" autoFill="0" autoLine="0" autoPict="0">
                <anchor moveWithCells="1">
                  <from>
                    <xdr:col>2</xdr:col>
                    <xdr:colOff>3762375</xdr:colOff>
                    <xdr:row>113</xdr:row>
                    <xdr:rowOff>95250</xdr:rowOff>
                  </from>
                  <to>
                    <xdr:col>3</xdr:col>
                    <xdr:colOff>47625</xdr:colOff>
                    <xdr:row>115</xdr:row>
                    <xdr:rowOff>28575</xdr:rowOff>
                  </to>
                </anchor>
              </controlPr>
            </control>
          </mc:Choice>
        </mc:AlternateContent>
        <mc:AlternateContent xmlns:mc="http://schemas.openxmlformats.org/markup-compatibility/2006">
          <mc:Choice Requires="x14">
            <control shapeId="14347" r:id="rId11" name="Check Box 11">
              <controlPr defaultSize="0" autoFill="0" autoLine="0" autoPict="0">
                <anchor moveWithCells="1">
                  <from>
                    <xdr:col>10</xdr:col>
                    <xdr:colOff>533400</xdr:colOff>
                    <xdr:row>113</xdr:row>
                    <xdr:rowOff>95250</xdr:rowOff>
                  </from>
                  <to>
                    <xdr:col>11</xdr:col>
                    <xdr:colOff>76200</xdr:colOff>
                    <xdr:row>115</xdr:row>
                    <xdr:rowOff>28575</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Q38"/>
  <sheetViews>
    <sheetView zoomScaleNormal="100" workbookViewId="0">
      <selection activeCell="A16" sqref="A16:XFD16"/>
    </sheetView>
  </sheetViews>
  <sheetFormatPr defaultColWidth="9.140625" defaultRowHeight="15" x14ac:dyDescent="0.25"/>
  <cols>
    <col min="1" max="1" width="1.28515625" customWidth="1"/>
    <col min="2" max="2" width="27.140625" customWidth="1"/>
    <col min="3" max="3" width="58.5703125" customWidth="1"/>
    <col min="4" max="8" width="10.7109375" customWidth="1"/>
    <col min="9" max="9" width="8.5703125" customWidth="1"/>
    <col min="10" max="10" width="16.7109375" customWidth="1"/>
    <col min="11" max="11" width="16.5703125" customWidth="1"/>
    <col min="12" max="12" width="1.28515625" customWidth="1"/>
    <col min="15" max="17" width="9.140625" hidden="1" customWidth="1"/>
  </cols>
  <sheetData>
    <row r="2" spans="1:17" ht="85.5" customHeight="1" x14ac:dyDescent="0.45">
      <c r="B2" s="25"/>
      <c r="C2" s="25"/>
      <c r="D2" s="25"/>
      <c r="E2" s="25"/>
      <c r="F2" s="25"/>
      <c r="G2" s="25"/>
      <c r="H2" s="25"/>
      <c r="I2" s="25"/>
      <c r="J2" s="25"/>
      <c r="K2" s="25"/>
    </row>
    <row r="3" spans="1:17" ht="28.5" customHeight="1" thickBot="1" x14ac:dyDescent="0.5">
      <c r="B3" s="34" t="s">
        <v>53</v>
      </c>
      <c r="C3" s="34"/>
      <c r="D3" s="34"/>
      <c r="E3" s="35" t="s">
        <v>62</v>
      </c>
      <c r="F3" s="34"/>
      <c r="G3" s="34"/>
      <c r="H3" s="34"/>
      <c r="I3" s="34"/>
      <c r="J3" s="34"/>
      <c r="K3" s="34"/>
    </row>
    <row r="4" spans="1:17" ht="46.5" customHeight="1" thickTop="1" x14ac:dyDescent="0.25">
      <c r="B4" s="30" t="s">
        <v>3</v>
      </c>
      <c r="C4" s="31" t="s">
        <v>0</v>
      </c>
      <c r="D4" s="198" t="s">
        <v>54</v>
      </c>
      <c r="E4" s="199"/>
      <c r="F4" s="199"/>
      <c r="G4" s="199"/>
      <c r="H4" s="199"/>
      <c r="I4" s="199"/>
      <c r="J4" s="199"/>
      <c r="K4" s="200"/>
    </row>
    <row r="5" spans="1:17" ht="9.75" customHeight="1" x14ac:dyDescent="0.25">
      <c r="B5" s="13"/>
    </row>
    <row r="6" spans="1:17" ht="15.75" thickBot="1" x14ac:dyDescent="0.3">
      <c r="A6" s="18"/>
      <c r="B6" s="19" t="s">
        <v>24</v>
      </c>
      <c r="C6" s="18"/>
      <c r="D6" s="29" t="s">
        <v>34</v>
      </c>
      <c r="E6" s="29"/>
      <c r="F6" s="18"/>
      <c r="G6" s="18"/>
      <c r="H6" s="18"/>
      <c r="I6" s="18"/>
      <c r="J6" s="18"/>
      <c r="K6" s="39" t="s">
        <v>73</v>
      </c>
      <c r="L6" s="18"/>
      <c r="O6" t="b">
        <v>1</v>
      </c>
      <c r="P6" s="36">
        <f>IF(O6,IF(Q6,1.6,1.35),IF(Q6,1.1,1))</f>
        <v>1.6</v>
      </c>
      <c r="Q6" t="b">
        <v>1</v>
      </c>
    </row>
    <row r="7" spans="1:17" ht="16.5" thickTop="1" thickBot="1" x14ac:dyDescent="0.3">
      <c r="A7" s="18"/>
      <c r="B7" s="37"/>
      <c r="C7" s="201"/>
      <c r="D7" s="202"/>
      <c r="E7" s="202"/>
      <c r="F7" s="202"/>
      <c r="G7" s="202"/>
      <c r="H7" s="202"/>
      <c r="I7" s="203"/>
      <c r="J7" s="38" t="s">
        <v>64</v>
      </c>
      <c r="K7" s="38" t="s">
        <v>65</v>
      </c>
      <c r="L7" s="18"/>
    </row>
    <row r="8" spans="1:17" ht="41.25" customHeight="1" thickTop="1" thickBot="1" x14ac:dyDescent="0.3">
      <c r="A8" s="18"/>
      <c r="B8" s="32" t="s">
        <v>55</v>
      </c>
      <c r="C8" s="188" t="s">
        <v>11</v>
      </c>
      <c r="D8" s="189"/>
      <c r="E8" s="189"/>
      <c r="F8" s="189"/>
      <c r="G8" s="189"/>
      <c r="H8" s="189"/>
      <c r="I8" s="191"/>
      <c r="J8" s="10">
        <f>$P$6*25000</f>
        <v>40000</v>
      </c>
      <c r="K8" s="10">
        <f>$P$6*30000</f>
        <v>48000</v>
      </c>
      <c r="L8" s="18"/>
    </row>
    <row r="9" spans="1:17" ht="41.25" customHeight="1" thickTop="1" thickBot="1" x14ac:dyDescent="0.3">
      <c r="A9" s="18"/>
      <c r="B9" s="33" t="s">
        <v>56</v>
      </c>
      <c r="C9" s="186" t="s">
        <v>12</v>
      </c>
      <c r="D9" s="187"/>
      <c r="E9" s="187"/>
      <c r="F9" s="187"/>
      <c r="G9" s="187"/>
      <c r="H9" s="187"/>
      <c r="I9" s="197"/>
      <c r="J9" s="5">
        <f>$P$6*100000</f>
        <v>160000</v>
      </c>
      <c r="K9" s="12">
        <f>$P$6*120000</f>
        <v>192000</v>
      </c>
      <c r="L9" s="18"/>
    </row>
    <row r="10" spans="1:17" ht="41.25" customHeight="1" thickTop="1" thickBot="1" x14ac:dyDescent="0.3">
      <c r="A10" s="18"/>
      <c r="B10" s="32" t="s">
        <v>57</v>
      </c>
      <c r="C10" s="188" t="s">
        <v>13</v>
      </c>
      <c r="D10" s="189"/>
      <c r="E10" s="189"/>
      <c r="F10" s="189"/>
      <c r="G10" s="189"/>
      <c r="H10" s="189"/>
      <c r="I10" s="191"/>
      <c r="J10" s="10">
        <f>$P$6*25000</f>
        <v>40000</v>
      </c>
      <c r="K10" s="10">
        <f>$P$6*30000</f>
        <v>48000</v>
      </c>
      <c r="L10" s="18"/>
    </row>
    <row r="11" spans="1:17" ht="41.25" customHeight="1" thickTop="1" thickBot="1" x14ac:dyDescent="0.3">
      <c r="A11" s="18"/>
      <c r="B11" s="33" t="s">
        <v>58</v>
      </c>
      <c r="C11" s="186" t="s">
        <v>14</v>
      </c>
      <c r="D11" s="187"/>
      <c r="E11" s="187"/>
      <c r="F11" s="187"/>
      <c r="G11" s="187"/>
      <c r="H11" s="187"/>
      <c r="I11" s="197"/>
      <c r="J11" s="5">
        <f>$P$6*400000</f>
        <v>640000</v>
      </c>
      <c r="K11" s="12">
        <f>$P$6*480000</f>
        <v>768000</v>
      </c>
      <c r="L11" s="18"/>
    </row>
    <row r="12" spans="1:17" ht="41.25" customHeight="1" thickTop="1" thickBot="1" x14ac:dyDescent="0.3">
      <c r="A12" s="18"/>
      <c r="B12" s="32" t="s">
        <v>59</v>
      </c>
      <c r="C12" s="188" t="s">
        <v>61</v>
      </c>
      <c r="D12" s="189"/>
      <c r="E12" s="189"/>
      <c r="F12" s="189"/>
      <c r="G12" s="189"/>
      <c r="H12" s="189"/>
      <c r="I12" s="191"/>
      <c r="J12" s="10">
        <f>$P$6*800000</f>
        <v>1280000</v>
      </c>
      <c r="K12" s="10">
        <f>$P$6*1000000</f>
        <v>1600000</v>
      </c>
      <c r="L12" s="18"/>
    </row>
    <row r="13" spans="1:17" ht="41.25" customHeight="1" thickTop="1" thickBot="1" x14ac:dyDescent="0.3">
      <c r="A13" s="18"/>
      <c r="B13" s="33" t="s">
        <v>60</v>
      </c>
      <c r="C13" s="186" t="s">
        <v>15</v>
      </c>
      <c r="D13" s="187"/>
      <c r="E13" s="187"/>
      <c r="F13" s="187"/>
      <c r="G13" s="187"/>
      <c r="H13" s="187"/>
      <c r="I13" s="197"/>
      <c r="J13" s="5">
        <f>$P$6*1600000</f>
        <v>2560000</v>
      </c>
      <c r="K13" s="12">
        <f>$P$6*2000000</f>
        <v>3200000</v>
      </c>
      <c r="L13" s="18"/>
    </row>
    <row r="14" spans="1:17" ht="6.75" customHeight="1" thickTop="1" x14ac:dyDescent="0.25">
      <c r="A14" s="18"/>
      <c r="B14" s="20"/>
      <c r="C14" s="18"/>
      <c r="D14" s="18"/>
      <c r="E14" s="18"/>
      <c r="F14" s="18"/>
      <c r="G14" s="18"/>
      <c r="H14" s="18"/>
      <c r="I14" s="18"/>
      <c r="J14" s="18"/>
      <c r="K14" s="18"/>
      <c r="L14" s="18"/>
    </row>
    <row r="15" spans="1:17" ht="44.25" customHeight="1" x14ac:dyDescent="0.25">
      <c r="M15" s="4"/>
    </row>
    <row r="16" spans="1:17" x14ac:dyDescent="0.25">
      <c r="A16" s="16"/>
      <c r="B16" s="17" t="s">
        <v>33</v>
      </c>
      <c r="C16" s="16"/>
      <c r="D16" s="16"/>
      <c r="E16" s="16"/>
      <c r="F16" s="16"/>
      <c r="G16" s="16"/>
      <c r="H16" s="16"/>
      <c r="I16" s="16"/>
      <c r="J16" s="16"/>
      <c r="K16" s="16"/>
      <c r="L16" s="16"/>
    </row>
    <row r="17" spans="2:12" x14ac:dyDescent="0.25">
      <c r="B17" s="4"/>
      <c r="C17" s="4"/>
      <c r="D17" s="4"/>
      <c r="E17" s="4"/>
      <c r="F17" s="4"/>
      <c r="G17" s="4"/>
      <c r="H17" s="4"/>
      <c r="I17" s="4"/>
      <c r="J17" s="4"/>
      <c r="K17" s="4"/>
    </row>
    <row r="18" spans="2:12" x14ac:dyDescent="0.25">
      <c r="L18" s="4"/>
    </row>
    <row r="19" spans="2:12" x14ac:dyDescent="0.25">
      <c r="L19" s="4"/>
    </row>
    <row r="20" spans="2:12" x14ac:dyDescent="0.25">
      <c r="L20" s="4"/>
    </row>
    <row r="21" spans="2:12" x14ac:dyDescent="0.25">
      <c r="L21" s="4"/>
    </row>
    <row r="22" spans="2:12" x14ac:dyDescent="0.25">
      <c r="L22" s="4"/>
    </row>
    <row r="23" spans="2:12" x14ac:dyDescent="0.25">
      <c r="L23" s="4"/>
    </row>
    <row r="24" spans="2:12" x14ac:dyDescent="0.25">
      <c r="L24" s="4"/>
    </row>
    <row r="25" spans="2:12" x14ac:dyDescent="0.25">
      <c r="L25" s="4"/>
    </row>
    <row r="26" spans="2:12" x14ac:dyDescent="0.25">
      <c r="L26" s="4"/>
    </row>
    <row r="27" spans="2:12" x14ac:dyDescent="0.25">
      <c r="L27" s="4"/>
    </row>
    <row r="28" spans="2:12" x14ac:dyDescent="0.25">
      <c r="L28" s="4"/>
    </row>
    <row r="29" spans="2:12" x14ac:dyDescent="0.25">
      <c r="L29" s="4"/>
    </row>
    <row r="30" spans="2:12" x14ac:dyDescent="0.25">
      <c r="L30" s="4"/>
    </row>
    <row r="31" spans="2:12" x14ac:dyDescent="0.25">
      <c r="L31" s="4"/>
    </row>
    <row r="32" spans="2:12" x14ac:dyDescent="0.25">
      <c r="L32" s="4"/>
    </row>
    <row r="33" spans="12:12" x14ac:dyDescent="0.25">
      <c r="L33" s="4"/>
    </row>
    <row r="34" spans="12:12" x14ac:dyDescent="0.25">
      <c r="L34" s="4"/>
    </row>
    <row r="35" spans="12:12" x14ac:dyDescent="0.25">
      <c r="L35" s="4"/>
    </row>
    <row r="36" spans="12:12" x14ac:dyDescent="0.25">
      <c r="L36" s="4"/>
    </row>
    <row r="37" spans="12:12" x14ac:dyDescent="0.25">
      <c r="L37" s="4"/>
    </row>
    <row r="38" spans="12:12" x14ac:dyDescent="0.25">
      <c r="L38" s="4"/>
    </row>
  </sheetData>
  <mergeCells count="8">
    <mergeCell ref="C11:I11"/>
    <mergeCell ref="C12:I12"/>
    <mergeCell ref="C13:I13"/>
    <mergeCell ref="D4:K4"/>
    <mergeCell ref="C8:I8"/>
    <mergeCell ref="C9:I9"/>
    <mergeCell ref="C10:I10"/>
    <mergeCell ref="C7:I7"/>
  </mergeCells>
  <conditionalFormatting sqref="A6:L6 A7:A14 L7:L14 B14:K14">
    <cfRule type="expression" dxfId="0" priority="1">
      <formula>$P$6&lt;&gt;1</formula>
    </cfRule>
  </conditionalFormatting>
  <pageMargins left="0.59055118110236227" right="0.39370078740157483" top="0.23622047244094491" bottom="0.23622047244094491" header="0.31496062992125984" footer="0.31496062992125984"/>
  <pageSetup paperSize="9" scale="48" orientation="portrait" r:id="rId1"/>
  <ignoredErrors>
    <ignoredError sqref="J9:K9" formula="1"/>
    <ignoredError sqref="P6"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15361" r:id="rId4" name="Check Box 1">
              <controlPr defaultSize="0" autoFill="0" autoLine="0" autoPict="0">
                <anchor moveWithCells="1">
                  <from>
                    <xdr:col>2</xdr:col>
                    <xdr:colOff>3695700</xdr:colOff>
                    <xdr:row>4</xdr:row>
                    <xdr:rowOff>85725</xdr:rowOff>
                  </from>
                  <to>
                    <xdr:col>3</xdr:col>
                    <xdr:colOff>0</xdr:colOff>
                    <xdr:row>6</xdr:row>
                    <xdr:rowOff>9525</xdr:rowOff>
                  </to>
                </anchor>
              </controlPr>
            </control>
          </mc:Choice>
        </mc:AlternateContent>
        <mc:AlternateContent xmlns:mc="http://schemas.openxmlformats.org/markup-compatibility/2006">
          <mc:Choice Requires="x14">
            <control shapeId="15363" r:id="rId5" name="Check Box 3">
              <controlPr defaultSize="0" autoFill="0" autoLine="0" autoPict="0">
                <anchor moveWithCells="1">
                  <from>
                    <xdr:col>10</xdr:col>
                    <xdr:colOff>190500</xdr:colOff>
                    <xdr:row>4</xdr:row>
                    <xdr:rowOff>95250</xdr:rowOff>
                  </from>
                  <to>
                    <xdr:col>10</xdr:col>
                    <xdr:colOff>447675</xdr:colOff>
                    <xdr:row>6</xdr:row>
                    <xdr:rowOff>9525</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W46"/>
  <sheetViews>
    <sheetView showGridLines="0" showRowColHeaders="0" zoomScaleNormal="100" workbookViewId="0">
      <selection activeCell="Z36" sqref="Z36"/>
    </sheetView>
  </sheetViews>
  <sheetFormatPr defaultColWidth="9.140625" defaultRowHeight="15" x14ac:dyDescent="0.25"/>
  <cols>
    <col min="1" max="1" width="1.28515625" customWidth="1"/>
    <col min="2" max="2" width="30.7109375" customWidth="1"/>
    <col min="3" max="3" width="59.42578125" customWidth="1"/>
    <col min="4" max="12" width="10.5703125" customWidth="1"/>
    <col min="13" max="13" width="1.28515625" customWidth="1"/>
    <col min="15" max="18" width="9.140625" hidden="1" customWidth="1"/>
    <col min="19" max="23" width="0" hidden="1" customWidth="1"/>
  </cols>
  <sheetData>
    <row r="2" spans="1:23" ht="85.5" customHeight="1" x14ac:dyDescent="0.25"/>
    <row r="3" spans="1:23" ht="29.25" thickBot="1" x14ac:dyDescent="0.5">
      <c r="B3" s="34" t="s">
        <v>41</v>
      </c>
      <c r="C3" s="34"/>
      <c r="D3" s="34"/>
      <c r="E3" s="34"/>
      <c r="F3" s="34"/>
      <c r="G3" s="34"/>
      <c r="H3" s="34"/>
      <c r="I3" s="34"/>
      <c r="J3" s="34"/>
      <c r="K3" s="34"/>
      <c r="L3" s="34"/>
    </row>
    <row r="4" spans="1:23" ht="26.25" customHeight="1" thickTop="1" thickBot="1" x14ac:dyDescent="0.3">
      <c r="B4" s="150" t="s">
        <v>3</v>
      </c>
      <c r="C4" s="152" t="s">
        <v>0</v>
      </c>
      <c r="D4" s="167" t="s">
        <v>74</v>
      </c>
      <c r="E4" s="167"/>
      <c r="F4" s="167"/>
      <c r="G4" s="167"/>
      <c r="H4" s="167"/>
      <c r="I4" s="167"/>
      <c r="J4" s="167"/>
      <c r="K4" s="167"/>
      <c r="L4" s="168"/>
    </row>
    <row r="5" spans="1:23" ht="21.75" customHeight="1" thickTop="1" thickBot="1" x14ac:dyDescent="0.3">
      <c r="B5" s="151"/>
      <c r="C5" s="153"/>
      <c r="D5" s="1" t="s">
        <v>1</v>
      </c>
      <c r="E5" s="1" t="s">
        <v>27</v>
      </c>
      <c r="F5" s="2" t="s">
        <v>28</v>
      </c>
      <c r="G5" s="1" t="s">
        <v>29</v>
      </c>
      <c r="H5" s="2" t="s">
        <v>30</v>
      </c>
      <c r="I5" s="1" t="s">
        <v>31</v>
      </c>
      <c r="J5" s="1" t="s">
        <v>32</v>
      </c>
      <c r="K5" s="1" t="s">
        <v>26</v>
      </c>
      <c r="L5" s="3" t="s">
        <v>25</v>
      </c>
    </row>
    <row r="6" spans="1:23" ht="9.75" customHeight="1" thickTop="1" x14ac:dyDescent="0.25">
      <c r="B6" s="13"/>
    </row>
    <row r="7" spans="1:23" ht="11.25" customHeight="1" thickBot="1" x14ac:dyDescent="0.3">
      <c r="A7" s="18"/>
      <c r="B7" s="19"/>
      <c r="C7" s="18"/>
      <c r="D7" s="18"/>
      <c r="E7" s="18"/>
      <c r="F7" s="18"/>
      <c r="G7" s="18"/>
      <c r="H7" s="18"/>
      <c r="I7" s="18"/>
      <c r="J7" s="18"/>
      <c r="K7" s="18"/>
      <c r="L7" s="18"/>
      <c r="M7" s="18"/>
    </row>
    <row r="8" spans="1:23" ht="40.5" customHeight="1" thickTop="1" thickBot="1" x14ac:dyDescent="0.3">
      <c r="A8" s="18"/>
      <c r="B8" s="14" t="s">
        <v>16</v>
      </c>
      <c r="C8" s="7" t="s">
        <v>17</v>
      </c>
      <c r="D8" s="204" t="s">
        <v>191</v>
      </c>
      <c r="E8" s="205"/>
      <c r="F8" s="205"/>
      <c r="G8" s="205"/>
      <c r="H8" s="205"/>
      <c r="I8" s="205"/>
      <c r="J8" s="205"/>
      <c r="K8" s="205"/>
      <c r="L8" s="206"/>
      <c r="M8" s="18"/>
    </row>
    <row r="9" spans="1:23" ht="40.5" customHeight="1" thickTop="1" thickBot="1" x14ac:dyDescent="0.3">
      <c r="A9" s="18"/>
      <c r="B9" s="26" t="s">
        <v>146</v>
      </c>
      <c r="C9" s="45" t="s">
        <v>186</v>
      </c>
      <c r="D9" s="147" t="s">
        <v>187</v>
      </c>
      <c r="E9" s="148"/>
      <c r="F9" s="148"/>
      <c r="G9" s="148"/>
      <c r="H9" s="148"/>
      <c r="I9" s="148"/>
      <c r="J9" s="148"/>
      <c r="K9" s="148"/>
      <c r="L9" s="149"/>
      <c r="M9" s="18"/>
      <c r="O9" s="204">
        <v>3000</v>
      </c>
      <c r="P9" s="205"/>
      <c r="Q9" s="205"/>
      <c r="R9" s="205"/>
      <c r="S9" s="205"/>
      <c r="T9" s="205"/>
      <c r="U9" s="205"/>
      <c r="V9" s="205"/>
      <c r="W9" s="206"/>
    </row>
    <row r="10" spans="1:23" ht="41.25" customHeight="1" thickTop="1" thickBot="1" x14ac:dyDescent="0.3">
      <c r="A10" s="18"/>
      <c r="B10" s="33" t="s">
        <v>18</v>
      </c>
      <c r="C10" s="46" t="s">
        <v>188</v>
      </c>
      <c r="D10" s="204">
        <v>6900</v>
      </c>
      <c r="E10" s="205"/>
      <c r="F10" s="205"/>
      <c r="G10" s="205"/>
      <c r="H10" s="205"/>
      <c r="I10" s="205"/>
      <c r="J10" s="205"/>
      <c r="K10" s="205"/>
      <c r="L10" s="206"/>
      <c r="M10" s="18"/>
      <c r="O10" s="6">
        <v>6000</v>
      </c>
      <c r="P10" s="6">
        <v>5500</v>
      </c>
      <c r="Q10" s="6">
        <v>5000</v>
      </c>
      <c r="R10" s="6">
        <v>4800</v>
      </c>
      <c r="S10" s="6">
        <v>4500</v>
      </c>
      <c r="T10" s="6">
        <v>4000</v>
      </c>
      <c r="U10" s="6">
        <v>3500</v>
      </c>
      <c r="V10" s="6">
        <v>3000</v>
      </c>
      <c r="W10" s="6" t="s">
        <v>2</v>
      </c>
    </row>
    <row r="11" spans="1:23" ht="41.25" customHeight="1" thickTop="1" thickBot="1" x14ac:dyDescent="0.3">
      <c r="A11" s="18"/>
      <c r="B11" s="33" t="s">
        <v>190</v>
      </c>
      <c r="C11" s="46" t="s">
        <v>189</v>
      </c>
      <c r="D11" s="204">
        <v>5000</v>
      </c>
      <c r="E11" s="205"/>
      <c r="F11" s="205"/>
      <c r="G11" s="205"/>
      <c r="H11" s="205"/>
      <c r="I11" s="205"/>
      <c r="J11" s="205"/>
      <c r="K11" s="205"/>
      <c r="L11" s="206"/>
      <c r="M11" s="18"/>
      <c r="O11" s="6">
        <v>6000</v>
      </c>
      <c r="P11" s="6">
        <v>5500</v>
      </c>
      <c r="Q11" s="6">
        <v>5000</v>
      </c>
      <c r="R11" s="6">
        <v>4800</v>
      </c>
      <c r="S11" s="6">
        <v>4500</v>
      </c>
      <c r="T11" s="6">
        <v>4000</v>
      </c>
      <c r="U11" s="6">
        <v>3500</v>
      </c>
      <c r="V11" s="6">
        <v>3000</v>
      </c>
      <c r="W11" s="6" t="s">
        <v>2</v>
      </c>
    </row>
    <row r="12" spans="1:23" ht="41.25" customHeight="1" thickTop="1" thickBot="1" x14ac:dyDescent="0.3">
      <c r="A12" s="18"/>
      <c r="B12" s="26" t="s">
        <v>167</v>
      </c>
      <c r="C12" s="109" t="s">
        <v>179</v>
      </c>
      <c r="D12" s="6">
        <v>8100</v>
      </c>
      <c r="E12" s="6">
        <v>7900</v>
      </c>
      <c r="F12" s="6">
        <v>7600</v>
      </c>
      <c r="G12" s="6">
        <v>6900</v>
      </c>
      <c r="H12" s="6">
        <v>6400</v>
      </c>
      <c r="I12" s="6">
        <v>5800</v>
      </c>
      <c r="J12" s="6">
        <v>5300</v>
      </c>
      <c r="K12" s="6">
        <v>4600</v>
      </c>
      <c r="L12" s="6" t="s">
        <v>2</v>
      </c>
      <c r="M12" s="18"/>
      <c r="O12" s="5">
        <v>2000</v>
      </c>
      <c r="P12" s="5">
        <v>1800</v>
      </c>
      <c r="Q12" s="5">
        <v>1700</v>
      </c>
      <c r="R12" s="5">
        <v>1600</v>
      </c>
      <c r="S12" s="5">
        <v>1500</v>
      </c>
      <c r="T12" s="5">
        <v>1300</v>
      </c>
      <c r="U12" s="5">
        <v>1100</v>
      </c>
      <c r="V12" s="5">
        <v>1000</v>
      </c>
      <c r="W12" s="5" t="s">
        <v>2</v>
      </c>
    </row>
    <row r="13" spans="1:23" ht="41.25" customHeight="1" thickTop="1" thickBot="1" x14ac:dyDescent="0.3">
      <c r="A13" s="18"/>
      <c r="B13" s="14" t="s">
        <v>90</v>
      </c>
      <c r="C13" s="7" t="s">
        <v>177</v>
      </c>
      <c r="D13" s="5">
        <v>6900</v>
      </c>
      <c r="E13" s="5">
        <v>6700</v>
      </c>
      <c r="F13" s="5">
        <v>6400</v>
      </c>
      <c r="G13" s="5">
        <v>5800</v>
      </c>
      <c r="H13" s="5">
        <v>5200</v>
      </c>
      <c r="I13" s="5">
        <v>4600</v>
      </c>
      <c r="J13" s="5">
        <v>4100</v>
      </c>
      <c r="K13" s="5">
        <v>3500</v>
      </c>
      <c r="L13" s="5" t="s">
        <v>2</v>
      </c>
      <c r="M13" s="18"/>
      <c r="O13" s="5"/>
      <c r="P13" s="5"/>
      <c r="Q13" s="5"/>
      <c r="R13" s="5"/>
      <c r="S13" s="5"/>
      <c r="T13" s="5"/>
      <c r="U13" s="5"/>
      <c r="V13" s="5"/>
      <c r="W13" s="5"/>
    </row>
    <row r="14" spans="1:23" ht="41.25" customHeight="1" thickTop="1" thickBot="1" x14ac:dyDescent="0.3">
      <c r="A14" s="18"/>
      <c r="B14" s="32" t="s">
        <v>91</v>
      </c>
      <c r="C14" s="45" t="s">
        <v>178</v>
      </c>
      <c r="D14" s="10">
        <v>9200</v>
      </c>
      <c r="E14" s="10">
        <v>9000</v>
      </c>
      <c r="F14" s="10">
        <v>8700</v>
      </c>
      <c r="G14" s="10">
        <v>8000</v>
      </c>
      <c r="H14" s="10">
        <v>7600</v>
      </c>
      <c r="I14" s="10">
        <v>6900</v>
      </c>
      <c r="J14" s="10">
        <v>6400</v>
      </c>
      <c r="K14" s="10">
        <v>5800</v>
      </c>
      <c r="L14" s="10" t="s">
        <v>2</v>
      </c>
      <c r="M14" s="18"/>
      <c r="O14" s="6">
        <v>3000</v>
      </c>
      <c r="P14" s="6">
        <v>2700</v>
      </c>
      <c r="Q14" s="6">
        <v>2600</v>
      </c>
      <c r="R14" s="6">
        <v>2400</v>
      </c>
      <c r="S14" s="6">
        <v>2300</v>
      </c>
      <c r="T14" s="6">
        <v>2000</v>
      </c>
      <c r="U14" s="6">
        <v>1700</v>
      </c>
      <c r="V14" s="6">
        <v>1500</v>
      </c>
      <c r="W14" s="6" t="s">
        <v>2</v>
      </c>
    </row>
    <row r="15" spans="1:23" ht="41.25" customHeight="1" thickTop="1" thickBot="1" x14ac:dyDescent="0.3">
      <c r="A15" s="18"/>
      <c r="B15" s="33" t="s">
        <v>182</v>
      </c>
      <c r="C15" s="110" t="s">
        <v>184</v>
      </c>
      <c r="D15" s="48">
        <v>10300</v>
      </c>
      <c r="E15" s="48">
        <v>10000</v>
      </c>
      <c r="F15" s="48">
        <v>9700</v>
      </c>
      <c r="G15" s="48">
        <v>9200</v>
      </c>
      <c r="H15" s="48">
        <v>8800</v>
      </c>
      <c r="I15" s="48">
        <v>8100</v>
      </c>
      <c r="J15" s="48">
        <v>7600</v>
      </c>
      <c r="K15" s="48">
        <v>7000</v>
      </c>
      <c r="L15" s="48" t="s">
        <v>2</v>
      </c>
      <c r="M15" s="18"/>
      <c r="O15" s="5">
        <v>2000</v>
      </c>
      <c r="P15" s="5">
        <v>1800</v>
      </c>
      <c r="Q15" s="5">
        <v>1700</v>
      </c>
      <c r="R15" s="5">
        <v>1600</v>
      </c>
      <c r="S15" s="5">
        <v>1500</v>
      </c>
      <c r="T15" s="5">
        <v>1300</v>
      </c>
      <c r="U15" s="5">
        <v>1100</v>
      </c>
      <c r="V15" s="5">
        <v>1000</v>
      </c>
      <c r="W15" s="5" t="s">
        <v>2</v>
      </c>
    </row>
    <row r="16" spans="1:23" ht="41.25" customHeight="1" thickTop="1" thickBot="1" x14ac:dyDescent="0.3">
      <c r="A16" s="18"/>
      <c r="B16" s="26" t="s">
        <v>92</v>
      </c>
      <c r="C16" s="8" t="s">
        <v>181</v>
      </c>
      <c r="D16" s="6">
        <v>9200</v>
      </c>
      <c r="E16" s="10">
        <v>9000</v>
      </c>
      <c r="F16" s="10">
        <v>8700</v>
      </c>
      <c r="G16" s="10">
        <v>8100</v>
      </c>
      <c r="H16" s="10">
        <v>7600</v>
      </c>
      <c r="I16" s="10">
        <v>6900</v>
      </c>
      <c r="J16" s="10">
        <v>6400</v>
      </c>
      <c r="K16" s="6">
        <v>5800</v>
      </c>
      <c r="L16" s="6" t="s">
        <v>2</v>
      </c>
      <c r="M16" s="18"/>
      <c r="O16" s="6"/>
      <c r="P16" s="6"/>
      <c r="Q16" s="6"/>
      <c r="R16" s="6"/>
      <c r="S16" s="6"/>
      <c r="T16" s="6"/>
      <c r="U16" s="6"/>
      <c r="V16" s="6"/>
      <c r="W16" s="6"/>
    </row>
    <row r="17" spans="1:23" ht="41.25" customHeight="1" thickTop="1" thickBot="1" x14ac:dyDescent="0.3">
      <c r="A17" s="18"/>
      <c r="B17" s="33" t="s">
        <v>93</v>
      </c>
      <c r="C17" s="46" t="s">
        <v>180</v>
      </c>
      <c r="D17" s="48">
        <v>11600</v>
      </c>
      <c r="E17" s="48">
        <v>11300</v>
      </c>
      <c r="F17" s="48">
        <v>11000</v>
      </c>
      <c r="G17" s="48">
        <v>10400</v>
      </c>
      <c r="H17" s="48">
        <v>9900</v>
      </c>
      <c r="I17" s="48">
        <v>9200</v>
      </c>
      <c r="J17" s="48">
        <v>8700</v>
      </c>
      <c r="K17" s="48">
        <v>8100</v>
      </c>
      <c r="L17" s="48" t="s">
        <v>2</v>
      </c>
      <c r="M17" s="18"/>
      <c r="O17" s="5">
        <v>4000</v>
      </c>
      <c r="P17" s="5">
        <v>3700</v>
      </c>
      <c r="Q17" s="5">
        <v>3600</v>
      </c>
      <c r="R17" s="5">
        <v>3400</v>
      </c>
      <c r="S17" s="5">
        <v>3300</v>
      </c>
      <c r="T17" s="5">
        <v>3000</v>
      </c>
      <c r="U17" s="5">
        <v>2700</v>
      </c>
      <c r="V17" s="5">
        <v>2500</v>
      </c>
      <c r="W17" s="5" t="s">
        <v>2</v>
      </c>
    </row>
    <row r="18" spans="1:23" ht="41.25" customHeight="1" thickTop="1" thickBot="1" x14ac:dyDescent="0.3">
      <c r="A18" s="18"/>
      <c r="B18" s="26" t="s">
        <v>183</v>
      </c>
      <c r="C18" s="109" t="s">
        <v>185</v>
      </c>
      <c r="D18" s="6">
        <v>11400</v>
      </c>
      <c r="E18" s="6">
        <v>11100</v>
      </c>
      <c r="F18" s="6">
        <v>10800</v>
      </c>
      <c r="G18" s="6">
        <v>10200</v>
      </c>
      <c r="H18" s="6">
        <v>9700</v>
      </c>
      <c r="I18" s="6">
        <v>9000</v>
      </c>
      <c r="J18" s="6">
        <v>8600</v>
      </c>
      <c r="K18" s="6">
        <v>8100</v>
      </c>
      <c r="L18" s="6" t="s">
        <v>2</v>
      </c>
      <c r="M18" s="18"/>
      <c r="O18" s="5">
        <v>2000</v>
      </c>
      <c r="P18" s="5">
        <v>1800</v>
      </c>
      <c r="Q18" s="5">
        <v>1700</v>
      </c>
      <c r="R18" s="5">
        <v>1600</v>
      </c>
      <c r="S18" s="5">
        <v>1500</v>
      </c>
      <c r="T18" s="5">
        <v>1300</v>
      </c>
      <c r="U18" s="5">
        <v>1100</v>
      </c>
      <c r="V18" s="5">
        <v>1000</v>
      </c>
      <c r="W18" s="5" t="s">
        <v>2</v>
      </c>
    </row>
    <row r="19" spans="1:23" ht="41.25" customHeight="1" thickTop="1" thickBot="1" x14ac:dyDescent="0.3">
      <c r="A19" s="18"/>
      <c r="B19" s="14" t="s">
        <v>165</v>
      </c>
      <c r="C19" s="7" t="s">
        <v>94</v>
      </c>
      <c r="D19" s="5">
        <v>10400</v>
      </c>
      <c r="E19" s="5">
        <v>10100</v>
      </c>
      <c r="F19" s="5">
        <v>9900</v>
      </c>
      <c r="G19" s="5">
        <v>9200</v>
      </c>
      <c r="H19" s="5">
        <v>8700</v>
      </c>
      <c r="I19" s="5">
        <v>8000</v>
      </c>
      <c r="J19" s="5">
        <v>7600</v>
      </c>
      <c r="K19" s="5">
        <v>6900</v>
      </c>
      <c r="L19" s="5" t="s">
        <v>2</v>
      </c>
      <c r="M19" s="18"/>
      <c r="O19" s="5"/>
      <c r="P19" s="5"/>
      <c r="Q19" s="5"/>
      <c r="R19" s="5"/>
      <c r="S19" s="5"/>
      <c r="T19" s="5"/>
      <c r="U19" s="5"/>
      <c r="V19" s="5"/>
      <c r="W19" s="5"/>
    </row>
    <row r="20" spans="1:23" ht="41.25" customHeight="1" thickTop="1" thickBot="1" x14ac:dyDescent="0.3">
      <c r="A20" s="18"/>
      <c r="B20" s="32" t="s">
        <v>166</v>
      </c>
      <c r="C20" s="45" t="s">
        <v>95</v>
      </c>
      <c r="D20" s="10">
        <v>12700</v>
      </c>
      <c r="E20" s="10">
        <v>12500</v>
      </c>
      <c r="F20" s="10">
        <v>12200</v>
      </c>
      <c r="G20" s="10">
        <v>11600</v>
      </c>
      <c r="H20" s="10">
        <v>11000</v>
      </c>
      <c r="I20" s="10">
        <v>10400</v>
      </c>
      <c r="J20" s="10">
        <v>9900</v>
      </c>
      <c r="K20" s="10">
        <v>9200</v>
      </c>
      <c r="L20" s="10" t="s">
        <v>2</v>
      </c>
      <c r="M20" s="18"/>
      <c r="O20" s="6">
        <v>5000</v>
      </c>
      <c r="P20" s="6">
        <v>6000</v>
      </c>
      <c r="Q20" s="6">
        <v>7000</v>
      </c>
      <c r="R20" s="6">
        <v>8000</v>
      </c>
      <c r="S20" s="6">
        <v>10000</v>
      </c>
      <c r="T20" s="6">
        <v>15000</v>
      </c>
      <c r="U20" s="6">
        <v>25000</v>
      </c>
      <c r="V20" s="6">
        <v>50000</v>
      </c>
      <c r="W20" s="6" t="s">
        <v>2</v>
      </c>
    </row>
    <row r="21" spans="1:23" ht="41.25" customHeight="1" thickTop="1" thickBot="1" x14ac:dyDescent="0.3">
      <c r="A21" s="18"/>
      <c r="B21" s="33" t="s">
        <v>96</v>
      </c>
      <c r="C21" s="46" t="s">
        <v>97</v>
      </c>
      <c r="D21" s="48">
        <v>28900</v>
      </c>
      <c r="E21" s="48">
        <v>34700</v>
      </c>
      <c r="F21" s="48">
        <v>40400</v>
      </c>
      <c r="G21" s="48">
        <v>57800</v>
      </c>
      <c r="H21" s="48">
        <v>75000</v>
      </c>
      <c r="I21" s="48">
        <v>86700</v>
      </c>
      <c r="J21" s="48">
        <v>144400</v>
      </c>
      <c r="K21" s="48">
        <v>288000</v>
      </c>
      <c r="L21" s="48" t="s">
        <v>2</v>
      </c>
      <c r="M21" s="18"/>
      <c r="O21" s="6"/>
      <c r="P21" s="6"/>
      <c r="Q21" s="6"/>
      <c r="R21" s="6"/>
      <c r="S21" s="6"/>
      <c r="T21" s="6"/>
      <c r="U21" s="6"/>
      <c r="V21" s="6"/>
      <c r="W21" s="6"/>
    </row>
    <row r="22" spans="1:23" ht="41.25" customHeight="1" thickTop="1" thickBot="1" x14ac:dyDescent="0.3">
      <c r="A22" s="18"/>
      <c r="B22" s="32" t="s">
        <v>19</v>
      </c>
      <c r="C22" s="45" t="s">
        <v>20</v>
      </c>
      <c r="D22" s="10">
        <v>5800</v>
      </c>
      <c r="E22" s="10">
        <v>6900</v>
      </c>
      <c r="F22" s="10">
        <v>8100</v>
      </c>
      <c r="G22" s="10">
        <v>9200</v>
      </c>
      <c r="H22" s="10">
        <v>11600</v>
      </c>
      <c r="I22" s="10">
        <v>17300</v>
      </c>
      <c r="J22" s="10">
        <v>28900</v>
      </c>
      <c r="K22" s="10">
        <v>57800</v>
      </c>
      <c r="L22" s="10" t="s">
        <v>2</v>
      </c>
      <c r="M22" s="18"/>
      <c r="O22" s="5">
        <v>5000</v>
      </c>
      <c r="P22" s="5">
        <v>6000</v>
      </c>
      <c r="Q22" s="5">
        <v>7000</v>
      </c>
      <c r="R22" s="5">
        <v>8000</v>
      </c>
      <c r="S22" s="5">
        <v>10000</v>
      </c>
      <c r="T22" s="5">
        <v>15000</v>
      </c>
      <c r="U22" s="5">
        <v>25000</v>
      </c>
      <c r="V22" s="5">
        <v>50000</v>
      </c>
      <c r="W22" s="5" t="s">
        <v>2</v>
      </c>
    </row>
    <row r="23" spans="1:23" ht="41.25" customHeight="1" thickTop="1" thickBot="1" x14ac:dyDescent="0.3">
      <c r="A23" s="18"/>
      <c r="B23" s="33" t="s">
        <v>21</v>
      </c>
      <c r="C23" s="46" t="s">
        <v>22</v>
      </c>
      <c r="D23" s="48">
        <v>11600</v>
      </c>
      <c r="E23" s="48">
        <v>13900</v>
      </c>
      <c r="F23" s="48">
        <v>17300</v>
      </c>
      <c r="G23" s="48">
        <v>23000</v>
      </c>
      <c r="H23" s="48">
        <v>28900</v>
      </c>
      <c r="I23" s="48">
        <v>34700</v>
      </c>
      <c r="J23" s="48">
        <v>57800</v>
      </c>
      <c r="K23" s="48">
        <v>116000</v>
      </c>
      <c r="L23" s="48" t="s">
        <v>2</v>
      </c>
      <c r="M23" s="18"/>
      <c r="O23" s="6">
        <v>5000</v>
      </c>
      <c r="P23" s="6">
        <v>6000</v>
      </c>
      <c r="Q23" s="6">
        <v>7000</v>
      </c>
      <c r="R23" s="6">
        <v>8000</v>
      </c>
      <c r="S23" s="6">
        <v>10000</v>
      </c>
      <c r="T23" s="6">
        <v>15000</v>
      </c>
      <c r="U23" s="6">
        <v>25000</v>
      </c>
      <c r="V23" s="6">
        <v>50000</v>
      </c>
    </row>
    <row r="24" spans="1:23" ht="9.75" customHeight="1" thickTop="1" x14ac:dyDescent="0.25">
      <c r="A24" s="18"/>
      <c r="B24" s="20"/>
      <c r="C24" s="18"/>
      <c r="D24" s="18"/>
      <c r="E24" s="18"/>
      <c r="F24" s="18"/>
      <c r="G24" s="18"/>
      <c r="H24" s="18"/>
      <c r="I24" s="18"/>
      <c r="J24" s="18"/>
      <c r="K24" s="18"/>
      <c r="L24" s="18"/>
      <c r="M24" s="18"/>
    </row>
    <row r="25" spans="1:23" x14ac:dyDescent="0.25">
      <c r="B25" s="13"/>
    </row>
    <row r="26" spans="1:23" x14ac:dyDescent="0.25">
      <c r="A26" s="16"/>
      <c r="B26" s="17" t="s">
        <v>33</v>
      </c>
      <c r="C26" s="16"/>
      <c r="D26" s="16"/>
      <c r="E26" s="16"/>
      <c r="F26" s="16"/>
      <c r="G26" s="16"/>
      <c r="H26" s="16"/>
      <c r="I26" s="16"/>
      <c r="J26" s="16"/>
      <c r="K26" s="16"/>
      <c r="L26" s="16"/>
      <c r="M26" s="16"/>
    </row>
    <row r="46" spans="6:6" x14ac:dyDescent="0.25">
      <c r="F46">
        <v>0</v>
      </c>
    </row>
  </sheetData>
  <mergeCells count="8">
    <mergeCell ref="D11:L11"/>
    <mergeCell ref="D9:L9"/>
    <mergeCell ref="O9:W9"/>
    <mergeCell ref="B4:B5"/>
    <mergeCell ref="C4:C5"/>
    <mergeCell ref="D4:L4"/>
    <mergeCell ref="D8:L8"/>
    <mergeCell ref="D10:L10"/>
  </mergeCells>
  <pageMargins left="0.59055118110236227" right="0.39370078740157483" top="0.23622047244094491" bottom="0.23622047244094491" header="0.31496062992125984" footer="0.31496062992125984"/>
  <pageSetup paperSize="9" scale="4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93"/>
  <sheetViews>
    <sheetView showGridLines="0" showRowColHeaders="0" topLeftCell="A7" zoomScaleNormal="100" workbookViewId="0">
      <selection activeCell="T7" sqref="T7"/>
    </sheetView>
  </sheetViews>
  <sheetFormatPr defaultColWidth="9.140625" defaultRowHeight="15" x14ac:dyDescent="0.25"/>
  <cols>
    <col min="1" max="1" width="2.7109375" customWidth="1"/>
    <col min="2" max="2" width="33.7109375" customWidth="1"/>
    <col min="4" max="5" width="9.140625" customWidth="1"/>
  </cols>
  <sheetData>
    <row r="1" spans="1:17" ht="40.5" customHeight="1" x14ac:dyDescent="0.45">
      <c r="A1" s="74"/>
      <c r="B1" s="75" t="s">
        <v>130</v>
      </c>
      <c r="C1" s="70"/>
      <c r="D1" s="70"/>
      <c r="E1" s="81" t="s">
        <v>137</v>
      </c>
      <c r="F1" s="70"/>
      <c r="G1" s="70"/>
      <c r="H1" s="70"/>
      <c r="I1" s="70"/>
      <c r="J1" s="70"/>
      <c r="K1" s="70"/>
      <c r="L1" s="70"/>
      <c r="M1" s="79"/>
      <c r="N1" s="79"/>
      <c r="O1" s="69"/>
      <c r="P1" s="77"/>
      <c r="Q1" s="80" t="s">
        <v>63</v>
      </c>
    </row>
    <row r="2" spans="1:17" ht="141.75" customHeight="1" x14ac:dyDescent="0.25">
      <c r="M2" s="78"/>
      <c r="N2" s="78"/>
    </row>
    <row r="3" spans="1:17" ht="77.25" customHeight="1" x14ac:dyDescent="0.25"/>
    <row r="4" spans="1:17" ht="165" customHeight="1" x14ac:dyDescent="0.25"/>
    <row r="5" spans="1:17" ht="24" customHeight="1" x14ac:dyDescent="0.25"/>
    <row r="6" spans="1:17" ht="40.5" customHeight="1" x14ac:dyDescent="0.45">
      <c r="A6" s="74"/>
      <c r="B6" s="75" t="s">
        <v>126</v>
      </c>
      <c r="C6" s="70"/>
      <c r="D6" s="70"/>
      <c r="E6" s="81" t="s">
        <v>137</v>
      </c>
      <c r="F6" s="70"/>
      <c r="G6" s="70"/>
      <c r="H6" s="70"/>
      <c r="I6" s="70"/>
      <c r="J6" s="70"/>
      <c r="K6" s="70"/>
      <c r="L6" s="70"/>
      <c r="M6" s="69"/>
      <c r="N6" s="71"/>
      <c r="O6" s="69"/>
      <c r="P6" s="69"/>
      <c r="Q6" s="81" t="s">
        <v>63</v>
      </c>
    </row>
    <row r="7" spans="1:17" ht="409.6" customHeight="1" x14ac:dyDescent="0.25"/>
    <row r="8" spans="1:17" ht="77.45" customHeight="1" x14ac:dyDescent="0.25"/>
    <row r="9" spans="1:17" ht="40.5" customHeight="1" x14ac:dyDescent="0.25">
      <c r="A9" s="69"/>
      <c r="B9" s="75" t="s">
        <v>131</v>
      </c>
      <c r="C9" s="75"/>
      <c r="D9" s="75"/>
      <c r="E9" s="90" t="s">
        <v>137</v>
      </c>
      <c r="F9" s="75"/>
      <c r="G9" s="75"/>
      <c r="H9" s="75"/>
      <c r="I9" s="75"/>
      <c r="J9" s="75"/>
      <c r="K9" s="75"/>
      <c r="L9" s="75"/>
      <c r="M9" s="76"/>
      <c r="N9" s="71"/>
      <c r="O9" s="76"/>
      <c r="P9" s="76"/>
      <c r="Q9" s="81" t="s">
        <v>63</v>
      </c>
    </row>
    <row r="10" spans="1:17" ht="313.5" customHeight="1" x14ac:dyDescent="0.25"/>
    <row r="11" spans="1:17" ht="124.9" customHeight="1" x14ac:dyDescent="0.25"/>
    <row r="12" spans="1:17" ht="41.25" customHeight="1" x14ac:dyDescent="0.25">
      <c r="A12" s="69"/>
      <c r="B12" s="75" t="s">
        <v>129</v>
      </c>
      <c r="C12" s="75"/>
      <c r="D12" s="75"/>
      <c r="E12" s="81" t="s">
        <v>137</v>
      </c>
      <c r="F12" s="69"/>
      <c r="G12" s="69"/>
      <c r="H12" s="69"/>
      <c r="I12" s="69"/>
      <c r="J12" s="69"/>
      <c r="K12" s="69"/>
      <c r="L12" s="69"/>
      <c r="M12" s="69"/>
      <c r="N12" s="69"/>
      <c r="O12" s="69"/>
      <c r="P12" s="69"/>
      <c r="Q12" s="81" t="s">
        <v>63</v>
      </c>
    </row>
    <row r="13" spans="1:17" ht="409.5" customHeight="1" x14ac:dyDescent="0.25"/>
    <row r="14" spans="1:17" ht="345" customHeight="1" x14ac:dyDescent="0.25"/>
    <row r="15" spans="1:17" ht="41.25" customHeight="1" x14ac:dyDescent="0.25">
      <c r="A15" s="69"/>
      <c r="B15" s="75" t="s">
        <v>128</v>
      </c>
      <c r="C15" s="75"/>
      <c r="D15" s="75"/>
      <c r="E15" s="81" t="s">
        <v>137</v>
      </c>
      <c r="F15" s="69"/>
      <c r="G15" s="69"/>
      <c r="H15" s="69"/>
      <c r="I15" s="69"/>
      <c r="J15" s="69"/>
      <c r="K15" s="69"/>
      <c r="L15" s="69"/>
      <c r="M15" s="69"/>
      <c r="N15" s="71"/>
      <c r="O15" s="69"/>
      <c r="P15" s="69"/>
      <c r="Q15" s="81" t="s">
        <v>63</v>
      </c>
    </row>
    <row r="16" spans="1:17" ht="172.5" customHeight="1" x14ac:dyDescent="0.25"/>
    <row r="17" spans="1:17" ht="6" customHeight="1" x14ac:dyDescent="0.25"/>
    <row r="18" spans="1:17" ht="30" customHeight="1" x14ac:dyDescent="0.25"/>
    <row r="19" spans="1:17" ht="230.25" customHeight="1" x14ac:dyDescent="0.25"/>
    <row r="20" spans="1:17" ht="47.25" customHeight="1" x14ac:dyDescent="0.25">
      <c r="A20" s="69"/>
      <c r="B20" s="75" t="s">
        <v>132</v>
      </c>
      <c r="C20" s="75"/>
      <c r="D20" s="75"/>
      <c r="E20" s="75"/>
      <c r="F20" s="69"/>
      <c r="G20" s="69"/>
      <c r="H20" s="69"/>
      <c r="I20" s="69"/>
      <c r="J20" s="81" t="s">
        <v>137</v>
      </c>
      <c r="K20" s="69"/>
      <c r="L20" s="69"/>
      <c r="M20" s="69"/>
      <c r="N20" s="71"/>
      <c r="O20" s="69"/>
      <c r="P20" s="69"/>
      <c r="Q20" s="81" t="s">
        <v>63</v>
      </c>
    </row>
    <row r="21" spans="1:17" ht="88.5" customHeight="1" x14ac:dyDescent="0.25"/>
    <row r="51" spans="1:17" ht="18.95" customHeight="1" x14ac:dyDescent="0.25"/>
    <row r="52" spans="1:17" ht="42" customHeight="1" x14ac:dyDescent="0.25">
      <c r="A52" s="69"/>
      <c r="B52" s="75" t="s">
        <v>127</v>
      </c>
      <c r="C52" s="75"/>
      <c r="D52" s="75"/>
      <c r="E52" s="75"/>
      <c r="F52" s="69"/>
      <c r="G52" s="69"/>
      <c r="H52" s="69"/>
      <c r="I52" s="81" t="s">
        <v>137</v>
      </c>
      <c r="J52" s="69"/>
      <c r="K52" s="69"/>
      <c r="L52" s="69"/>
      <c r="M52" s="69"/>
      <c r="N52" s="69"/>
      <c r="O52" s="69"/>
      <c r="P52" s="69"/>
      <c r="Q52" s="81" t="s">
        <v>63</v>
      </c>
    </row>
    <row r="93" spans="1:17" ht="42" customHeight="1" x14ac:dyDescent="0.25">
      <c r="A93" s="69"/>
      <c r="B93" s="75" t="s">
        <v>197</v>
      </c>
      <c r="C93" s="75"/>
      <c r="D93" s="75"/>
      <c r="E93" s="75"/>
      <c r="F93" s="69"/>
      <c r="G93" s="69"/>
      <c r="H93" s="69"/>
      <c r="I93" s="71"/>
      <c r="J93" s="69"/>
      <c r="K93" s="69"/>
      <c r="L93" s="69"/>
      <c r="M93" s="69"/>
      <c r="N93" s="69"/>
      <c r="O93" s="69"/>
      <c r="P93" s="69"/>
      <c r="Q93" s="81"/>
    </row>
  </sheetData>
  <hyperlinks>
    <hyperlink ref="E6" r:id="rId1"/>
    <hyperlink ref="E1" r:id="rId2"/>
    <hyperlink ref="E15" r:id="rId3"/>
    <hyperlink ref="E12" r:id="rId4"/>
    <hyperlink ref="J20" r:id="rId5"/>
    <hyperlink ref="I52" r:id="rId6"/>
    <hyperlink ref="E9" r:id="rId7"/>
  </hyperlinks>
  <pageMargins left="0.70866141732283472" right="0.70866141732283472" top="0.74803149606299213" bottom="0.74803149606299213" header="0.31496062992125984" footer="0.31496062992125984"/>
  <pageSetup paperSize="9" scale="50" fitToHeight="4" orientation="portrait" r:id="rId8"/>
  <drawing r:id="rId9"/>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T35"/>
  <sheetViews>
    <sheetView showGridLines="0" showRowColHeaders="0" topLeftCell="A2" zoomScaleNormal="100" workbookViewId="0">
      <selection activeCell="C10" sqref="C10"/>
    </sheetView>
  </sheetViews>
  <sheetFormatPr defaultColWidth="9.140625" defaultRowHeight="15" x14ac:dyDescent="0.25"/>
  <cols>
    <col min="1" max="1" width="1.28515625" customWidth="1"/>
    <col min="2" max="2" width="38.7109375" customWidth="1"/>
    <col min="3" max="3" width="59.42578125" customWidth="1"/>
    <col min="4" max="11" width="10.5703125" customWidth="1"/>
    <col min="12" max="12" width="10.42578125" customWidth="1"/>
    <col min="13" max="13" width="1.28515625" customWidth="1"/>
    <col min="14" max="14" width="8.140625" customWidth="1"/>
    <col min="15" max="15" width="11.28515625" hidden="1" customWidth="1"/>
    <col min="16" max="16" width="11.42578125" hidden="1" customWidth="1"/>
    <col min="17" max="17" width="20" hidden="1" customWidth="1"/>
    <col min="18" max="19" width="9.140625" hidden="1" customWidth="1"/>
  </cols>
  <sheetData>
    <row r="2" spans="1:20" ht="85.5" customHeight="1" x14ac:dyDescent="0.25"/>
    <row r="3" spans="1:20" ht="29.25" thickBot="1" x14ac:dyDescent="0.5">
      <c r="B3" s="34" t="s">
        <v>42</v>
      </c>
      <c r="C3" s="34"/>
      <c r="D3" s="34"/>
      <c r="E3" s="35" t="s">
        <v>62</v>
      </c>
      <c r="F3" s="34"/>
      <c r="G3" s="34"/>
      <c r="H3" s="34"/>
      <c r="I3" s="34"/>
      <c r="J3" s="34"/>
      <c r="K3" s="34"/>
      <c r="L3" s="34"/>
    </row>
    <row r="4" spans="1:20" ht="26.25" customHeight="1" thickTop="1" thickBot="1" x14ac:dyDescent="0.3">
      <c r="A4" s="116"/>
      <c r="B4" s="150" t="s">
        <v>3</v>
      </c>
      <c r="C4" s="152" t="s">
        <v>0</v>
      </c>
      <c r="D4" s="154"/>
      <c r="E4" s="154"/>
      <c r="F4" s="154"/>
      <c r="G4" s="154"/>
      <c r="H4" s="154"/>
      <c r="I4" s="154"/>
      <c r="J4" s="154"/>
      <c r="K4" s="154"/>
      <c r="L4" s="155"/>
    </row>
    <row r="5" spans="1:20" ht="21.75" customHeight="1" thickTop="1" thickBot="1" x14ac:dyDescent="0.3">
      <c r="A5" s="116"/>
      <c r="B5" s="151"/>
      <c r="C5" s="153"/>
      <c r="D5" s="1" t="s">
        <v>1</v>
      </c>
      <c r="E5" s="1" t="s">
        <v>27</v>
      </c>
      <c r="F5" s="2" t="s">
        <v>28</v>
      </c>
      <c r="G5" s="1" t="s">
        <v>29</v>
      </c>
      <c r="H5" s="2" t="s">
        <v>30</v>
      </c>
      <c r="I5" s="1" t="s">
        <v>31</v>
      </c>
      <c r="J5" s="1" t="s">
        <v>32</v>
      </c>
      <c r="K5" s="1" t="s">
        <v>26</v>
      </c>
      <c r="L5" s="3" t="s">
        <v>25</v>
      </c>
      <c r="O5" t="str">
        <f>IF(O7," Гарантийное сопровождение на 3 года."," Годовое гарантийное сопровождение.")</f>
        <v xml:space="preserve"> Годовое гарантийное сопровождение.</v>
      </c>
      <c r="Q5" t="str">
        <f>IF(Q7," Техподдержка 24/7.","")</f>
        <v/>
      </c>
    </row>
    <row r="6" spans="1:20" s="116" customFormat="1" ht="3" customHeight="1" thickTop="1" x14ac:dyDescent="0.25">
      <c r="B6" s="117"/>
      <c r="C6" s="118"/>
      <c r="D6" s="119"/>
      <c r="E6" s="119"/>
      <c r="F6" s="119"/>
      <c r="G6" s="119"/>
      <c r="H6" s="119"/>
      <c r="I6" s="119"/>
      <c r="J6" s="119"/>
      <c r="K6" s="119"/>
      <c r="L6" s="119"/>
      <c r="N6"/>
      <c r="O6"/>
      <c r="P6"/>
      <c r="Q6"/>
    </row>
    <row r="7" spans="1:20" ht="15.75" thickBot="1" x14ac:dyDescent="0.3">
      <c r="A7" s="18"/>
      <c r="B7" s="19" t="s">
        <v>99</v>
      </c>
      <c r="C7" s="18"/>
      <c r="D7" s="29" t="s">
        <v>34</v>
      </c>
      <c r="E7" s="29"/>
      <c r="F7" s="18"/>
      <c r="G7" s="18"/>
      <c r="H7" s="18"/>
      <c r="I7" s="18"/>
      <c r="J7" s="18"/>
      <c r="K7" s="18"/>
      <c r="L7" s="29" t="s">
        <v>73</v>
      </c>
      <c r="M7" s="18"/>
      <c r="O7" t="b">
        <v>0</v>
      </c>
      <c r="P7">
        <f>IF(O7,IF(Q7,1.6,1.35),IF(Q7,1.1,1))</f>
        <v>1</v>
      </c>
      <c r="Q7" t="b">
        <v>0</v>
      </c>
    </row>
    <row r="8" spans="1:20" ht="16.5" customHeight="1" thickTop="1" thickBot="1" x14ac:dyDescent="0.3">
      <c r="A8" s="18"/>
      <c r="B8" s="156"/>
      <c r="C8" s="157"/>
      <c r="D8" s="158" t="s">
        <v>100</v>
      </c>
      <c r="E8" s="159"/>
      <c r="F8" s="159"/>
      <c r="G8" s="159"/>
      <c r="H8" s="159"/>
      <c r="I8" s="159"/>
      <c r="J8" s="159"/>
      <c r="K8" s="159"/>
      <c r="L8" s="160"/>
      <c r="M8" s="18"/>
      <c r="Q8" t="s">
        <v>225</v>
      </c>
      <c r="R8" t="str">
        <f>IF($Q$7,IF($O$7,"х.36M247","х.12M247"),IF($O$7,"х.36M","х.z"))</f>
        <v>х.z</v>
      </c>
      <c r="S8" t="s">
        <v>226</v>
      </c>
    </row>
    <row r="9" spans="1:20" ht="51.75" customHeight="1" thickTop="1" thickBot="1" x14ac:dyDescent="0.3">
      <c r="A9" s="18"/>
      <c r="B9" s="14" t="str">
        <f>Q8&amp;R8</f>
        <v>DLVI.S.ESXI-KVM-ENT.х.z</v>
      </c>
      <c r="C9" s="7" t="str">
        <f>Q9&amp;$R$9&amp;$O$5&amp;$Q$5</f>
        <v>СЗИ ВИ Dallas Lock. Универсальная лицензия для ESXi, KVM серверов (гипервизоров). 
Право на использование (СЗИ НСД)**. Бессрочная лицензия. Годовое гарантийное сопровождение.</v>
      </c>
      <c r="D9" s="5">
        <f>$P$7*99000</f>
        <v>99000</v>
      </c>
      <c r="E9" s="5">
        <f>$P$7*98000</f>
        <v>98000</v>
      </c>
      <c r="F9" s="5">
        <f>$P$7*97000</f>
        <v>97000</v>
      </c>
      <c r="G9" s="5">
        <f>$P$7*96000</f>
        <v>96000</v>
      </c>
      <c r="H9" s="5">
        <f>$P$7*95000</f>
        <v>95000</v>
      </c>
      <c r="I9" s="5">
        <f>$P$7*94000</f>
        <v>94000</v>
      </c>
      <c r="J9" s="5">
        <f>$P$7*92500</f>
        <v>92500</v>
      </c>
      <c r="K9" s="5" t="s">
        <v>2</v>
      </c>
      <c r="L9" s="5" t="s">
        <v>2</v>
      </c>
      <c r="M9" s="18"/>
      <c r="Q9" s="129" t="s">
        <v>224</v>
      </c>
      <c r="R9" t="s">
        <v>222</v>
      </c>
    </row>
    <row r="10" spans="1:20" ht="53.25" customHeight="1" thickTop="1" thickBot="1" x14ac:dyDescent="0.3">
      <c r="A10" s="18"/>
      <c r="B10" s="130" t="str">
        <f>Q8&amp;S8&amp;R8</f>
        <v>DLVI.S.ESXI-KVM-ENT.FW.х.z</v>
      </c>
      <c r="C10" s="45" t="str">
        <f>Q10&amp;$R$10&amp;$O$5&amp;$Q$5</f>
        <v>СЗИ ВИ Dallas Lock. Модуль «Межсетевой экран». Универсальная лицензия для ESXi, KVM серверов (гипервизоров). 
Право на использование (МЭ)**. Бессрочная лицензия. Годовое гарантийное сопровождение.</v>
      </c>
      <c r="D10" s="55">
        <f>$P$7*15000</f>
        <v>15000</v>
      </c>
      <c r="E10" s="55">
        <f t="shared" ref="E10:J10" si="0">$P$7*15000</f>
        <v>15000</v>
      </c>
      <c r="F10" s="55">
        <f t="shared" si="0"/>
        <v>15000</v>
      </c>
      <c r="G10" s="55">
        <f t="shared" si="0"/>
        <v>15000</v>
      </c>
      <c r="H10" s="55">
        <f t="shared" si="0"/>
        <v>15000</v>
      </c>
      <c r="I10" s="55">
        <f t="shared" si="0"/>
        <v>15000</v>
      </c>
      <c r="J10" s="55">
        <f t="shared" si="0"/>
        <v>15000</v>
      </c>
      <c r="K10" s="55" t="s">
        <v>2</v>
      </c>
      <c r="L10" s="55" t="s">
        <v>2</v>
      </c>
      <c r="M10" s="18"/>
      <c r="O10" t="b">
        <v>0</v>
      </c>
      <c r="P10">
        <f>IF(O10,1,0)</f>
        <v>0</v>
      </c>
      <c r="Q10" s="129" t="s">
        <v>223</v>
      </c>
      <c r="R10" t="str">
        <f>IF(O10,", МЭ","")</f>
        <v/>
      </c>
      <c r="S10" t="str">
        <f>IF(O10,S8,"")</f>
        <v/>
      </c>
    </row>
    <row r="11" spans="1:20" ht="57.75" customHeight="1" thickTop="1" thickBot="1" x14ac:dyDescent="0.3">
      <c r="A11" s="18"/>
      <c r="B11" s="40" t="str">
        <f>Q8&amp;S10&amp;R8</f>
        <v>DLVI.S.ESXI-KVM-ENT.х.z</v>
      </c>
      <c r="C11" s="41" t="str">
        <f>Q11&amp;R10&amp;$R$11&amp;$O$5&amp;$Q$5</f>
        <v>СЗИ ВИ Dallas Lock. Универсальная лицензия для ESXi, KVM серверов (гипервизоров). 
Право на использование (СЗИ НСД)**. Бессрочная лицензия. Годовое гарантийное сопровождение.</v>
      </c>
      <c r="D11" s="47">
        <f>D9+D10*$P$10</f>
        <v>99000</v>
      </c>
      <c r="E11" s="47">
        <f t="shared" ref="E11:J11" si="1">E9+E10*$P$10</f>
        <v>98000</v>
      </c>
      <c r="F11" s="47">
        <f t="shared" si="1"/>
        <v>97000</v>
      </c>
      <c r="G11" s="47">
        <f t="shared" si="1"/>
        <v>96000</v>
      </c>
      <c r="H11" s="47">
        <f t="shared" si="1"/>
        <v>95000</v>
      </c>
      <c r="I11" s="47">
        <f t="shared" si="1"/>
        <v>94000</v>
      </c>
      <c r="J11" s="47">
        <f t="shared" si="1"/>
        <v>92500</v>
      </c>
      <c r="K11" s="42" t="s">
        <v>2</v>
      </c>
      <c r="L11" s="42" t="s">
        <v>2</v>
      </c>
      <c r="M11" s="18"/>
      <c r="Q11" s="129" t="s">
        <v>224</v>
      </c>
      <c r="R11" t="s">
        <v>222</v>
      </c>
    </row>
    <row r="12" spans="1:20" ht="42" customHeight="1" thickTop="1" thickBot="1" x14ac:dyDescent="0.3">
      <c r="A12" s="18"/>
      <c r="B12" s="14" t="str">
        <f>IF($Q$7,IF($O$7,"DLVI.S.ESXI-KVM-HV-ENT.х.36M247","DLVI.S.ESXI-KVM-HV-ENT.х.12M247"),IF($O$7,"DLVI.S.ESXI-KVM-HV-ENT.х.36M","DLVI.S.ESXI-KVM-HV-ENT.х.z"))</f>
        <v>DLVI.S.ESXI-KVM-HV-ENT.х.z</v>
      </c>
      <c r="C12" s="7" t="s">
        <v>134</v>
      </c>
      <c r="D12" s="5">
        <f>$P$7*126000</f>
        <v>126000</v>
      </c>
      <c r="E12" s="5">
        <f>$P$7*125500</f>
        <v>125500</v>
      </c>
      <c r="F12" s="5">
        <f>$P$7*124000</f>
        <v>124000</v>
      </c>
      <c r="G12" s="5">
        <f>$P$7*122000</f>
        <v>122000</v>
      </c>
      <c r="H12" s="5">
        <f>$P$7*121000</f>
        <v>121000</v>
      </c>
      <c r="I12" s="5">
        <f>$P$7*120000</f>
        <v>120000</v>
      </c>
      <c r="J12" s="5">
        <f>$P$7*116500</f>
        <v>116500</v>
      </c>
      <c r="K12" s="5" t="s">
        <v>2</v>
      </c>
      <c r="L12" s="5" t="s">
        <v>2</v>
      </c>
      <c r="M12" s="18"/>
    </row>
    <row r="13" spans="1:20" ht="6.75" customHeight="1" thickTop="1" x14ac:dyDescent="0.25">
      <c r="A13" s="18"/>
      <c r="B13" s="20"/>
      <c r="C13" s="18"/>
      <c r="D13" s="18"/>
      <c r="E13" s="18"/>
      <c r="F13" s="18"/>
      <c r="G13" s="18"/>
      <c r="H13" s="18"/>
      <c r="I13" s="18"/>
      <c r="J13" s="18"/>
      <c r="K13" s="18"/>
      <c r="L13" s="18"/>
      <c r="M13" s="18"/>
      <c r="O13" s="50"/>
      <c r="P13" s="50"/>
      <c r="Q13" s="50"/>
      <c r="R13" s="50"/>
      <c r="S13" s="50"/>
      <c r="T13" s="50"/>
    </row>
    <row r="14" spans="1:20" ht="9.75" customHeight="1" x14ac:dyDescent="0.25">
      <c r="B14" s="13"/>
      <c r="O14" s="50"/>
      <c r="P14" s="50"/>
      <c r="Q14" s="50"/>
      <c r="R14" s="50"/>
      <c r="S14" s="50"/>
      <c r="T14" s="50"/>
    </row>
    <row r="15" spans="1:20" ht="15.75" thickBot="1" x14ac:dyDescent="0.3">
      <c r="A15" s="18"/>
      <c r="B15" s="19" t="s">
        <v>148</v>
      </c>
      <c r="C15" s="18"/>
      <c r="D15" s="18"/>
      <c r="E15" s="18"/>
      <c r="F15" s="18"/>
      <c r="G15" s="18"/>
      <c r="H15" s="18"/>
      <c r="I15" s="18"/>
      <c r="J15" s="18"/>
      <c r="K15" s="18"/>
      <c r="L15" s="18"/>
      <c r="M15" s="18"/>
    </row>
    <row r="16" spans="1:20" ht="41.25" customHeight="1" thickTop="1" thickBot="1" x14ac:dyDescent="0.3">
      <c r="A16" s="18"/>
      <c r="B16" s="32" t="s">
        <v>4</v>
      </c>
      <c r="C16" s="45" t="s">
        <v>133</v>
      </c>
      <c r="D16" s="147">
        <v>1000</v>
      </c>
      <c r="E16" s="148"/>
      <c r="F16" s="148"/>
      <c r="G16" s="148"/>
      <c r="H16" s="148"/>
      <c r="I16" s="148"/>
      <c r="J16" s="148"/>
      <c r="K16" s="148"/>
      <c r="L16" s="149"/>
      <c r="M16" s="18"/>
    </row>
    <row r="17" spans="1:13" ht="6.75" customHeight="1" thickTop="1" x14ac:dyDescent="0.25">
      <c r="A17" s="18"/>
      <c r="B17" s="20"/>
      <c r="C17" s="18"/>
      <c r="D17" s="18"/>
      <c r="E17" s="18"/>
      <c r="F17" s="18"/>
      <c r="G17" s="18"/>
      <c r="H17" s="18"/>
      <c r="I17" s="18"/>
      <c r="J17" s="18"/>
      <c r="K17" s="18"/>
      <c r="L17" s="18"/>
      <c r="M17" s="18"/>
    </row>
    <row r="18" spans="1:13" ht="54" customHeight="1" x14ac:dyDescent="0.25">
      <c r="B18" s="13"/>
    </row>
    <row r="19" spans="1:13" x14ac:dyDescent="0.25">
      <c r="A19" s="16"/>
      <c r="B19" s="17" t="s">
        <v>33</v>
      </c>
      <c r="C19" s="16"/>
      <c r="D19" s="16"/>
      <c r="E19" s="16"/>
      <c r="F19" s="16"/>
      <c r="G19" s="16"/>
      <c r="H19" s="16"/>
      <c r="I19" s="16"/>
      <c r="J19" s="16"/>
      <c r="K19" s="16"/>
      <c r="L19" s="16"/>
      <c r="M19" s="16"/>
    </row>
    <row r="20" spans="1:13" ht="41.25" customHeight="1" x14ac:dyDescent="0.25">
      <c r="M20" s="4"/>
    </row>
    <row r="21" spans="1:13" ht="41.25" customHeight="1" x14ac:dyDescent="0.25">
      <c r="M21" s="4"/>
    </row>
    <row r="22" spans="1:13" ht="41.25" customHeight="1" x14ac:dyDescent="0.25">
      <c r="M22" s="4"/>
    </row>
    <row r="23" spans="1:13" ht="41.25" customHeight="1" x14ac:dyDescent="0.25">
      <c r="M23" s="4"/>
    </row>
    <row r="24" spans="1:13" ht="41.25" customHeight="1" x14ac:dyDescent="0.25">
      <c r="M24" s="4"/>
    </row>
    <row r="25" spans="1:13" ht="41.25" customHeight="1" x14ac:dyDescent="0.25">
      <c r="M25" s="4"/>
    </row>
    <row r="26" spans="1:13" ht="41.25" customHeight="1" x14ac:dyDescent="0.25">
      <c r="M26" s="4"/>
    </row>
    <row r="27" spans="1:13" ht="41.25" customHeight="1" x14ac:dyDescent="0.25">
      <c r="M27" s="4"/>
    </row>
    <row r="28" spans="1:13" ht="41.25" customHeight="1" x14ac:dyDescent="0.25">
      <c r="M28" s="4"/>
    </row>
    <row r="29" spans="1:13" ht="41.25" customHeight="1" x14ac:dyDescent="0.25">
      <c r="M29" s="4"/>
    </row>
    <row r="30" spans="1:13" ht="41.25" customHeight="1" x14ac:dyDescent="0.25">
      <c r="M30" s="4"/>
    </row>
    <row r="31" spans="1:13" ht="41.25" customHeight="1" x14ac:dyDescent="0.25">
      <c r="M31" s="4"/>
    </row>
    <row r="32" spans="1:13" x14ac:dyDescent="0.25">
      <c r="M32" s="4"/>
    </row>
    <row r="33" spans="13:13" x14ac:dyDescent="0.25">
      <c r="M33" s="4"/>
    </row>
    <row r="34" spans="13:13" ht="50.25" customHeight="1" x14ac:dyDescent="0.25">
      <c r="M34" s="4"/>
    </row>
    <row r="35" spans="13:13" x14ac:dyDescent="0.25">
      <c r="M35" s="4"/>
    </row>
  </sheetData>
  <mergeCells count="6">
    <mergeCell ref="D16:L16"/>
    <mergeCell ref="B4:B5"/>
    <mergeCell ref="C4:C5"/>
    <mergeCell ref="D4:L4"/>
    <mergeCell ref="B8:C8"/>
    <mergeCell ref="D8:L8"/>
  </mergeCells>
  <conditionalFormatting sqref="A7:M7 A8:A13 M8:M13 B13:L13">
    <cfRule type="expression" dxfId="42" priority="1">
      <formula>$Q$7</formula>
    </cfRule>
    <cfRule type="expression" dxfId="41" priority="2">
      <formula>$O$7</formula>
    </cfRule>
  </conditionalFormatting>
  <printOptions gridLines="1"/>
  <pageMargins left="0.62992125984251968" right="0.23622047244094491" top="0.74803149606299213" bottom="0.74803149606299213" header="0.31496062992125984" footer="0.31496062992125984"/>
  <pageSetup paperSize="9" scale="4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9393" r:id="rId4" name="Check Box 1">
              <controlPr defaultSize="0" autoFill="0" autoLine="0" autoPict="0">
                <anchor moveWithCells="1">
                  <from>
                    <xdr:col>2</xdr:col>
                    <xdr:colOff>3762375</xdr:colOff>
                    <xdr:row>5</xdr:row>
                    <xdr:rowOff>0</xdr:rowOff>
                  </from>
                  <to>
                    <xdr:col>3</xdr:col>
                    <xdr:colOff>57150</xdr:colOff>
                    <xdr:row>7</xdr:row>
                    <xdr:rowOff>9525</xdr:rowOff>
                  </to>
                </anchor>
              </controlPr>
            </control>
          </mc:Choice>
        </mc:AlternateContent>
        <mc:AlternateContent xmlns:mc="http://schemas.openxmlformats.org/markup-compatibility/2006">
          <mc:Choice Requires="x14">
            <control shapeId="59394" r:id="rId5" name="Check Box 2">
              <controlPr defaultSize="0" autoFill="0" autoLine="0" autoPict="0">
                <anchor moveWithCells="1">
                  <from>
                    <xdr:col>10</xdr:col>
                    <xdr:colOff>504825</xdr:colOff>
                    <xdr:row>5</xdr:row>
                    <xdr:rowOff>0</xdr:rowOff>
                  </from>
                  <to>
                    <xdr:col>11</xdr:col>
                    <xdr:colOff>47625</xdr:colOff>
                    <xdr:row>7</xdr:row>
                    <xdr:rowOff>0</xdr:rowOff>
                  </to>
                </anchor>
              </controlPr>
            </control>
          </mc:Choice>
        </mc:AlternateContent>
        <mc:AlternateContent xmlns:mc="http://schemas.openxmlformats.org/markup-compatibility/2006">
          <mc:Choice Requires="x14">
            <control shapeId="59395" r:id="rId6" name="Check Box 3">
              <controlPr defaultSize="0" autoFill="0" autoLine="0" autoPict="0">
                <anchor moveWithCells="1">
                  <from>
                    <xdr:col>1</xdr:col>
                    <xdr:colOff>28575</xdr:colOff>
                    <xdr:row>9</xdr:row>
                    <xdr:rowOff>161925</xdr:rowOff>
                  </from>
                  <to>
                    <xdr:col>1</xdr:col>
                    <xdr:colOff>219075</xdr:colOff>
                    <xdr:row>9</xdr:row>
                    <xdr:rowOff>542925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T48"/>
  <sheetViews>
    <sheetView showGridLines="0" showRowColHeaders="0" zoomScaleNormal="100" workbookViewId="0">
      <selection activeCell="Z74" sqref="Z74"/>
    </sheetView>
  </sheetViews>
  <sheetFormatPr defaultColWidth="9.140625" defaultRowHeight="15" x14ac:dyDescent="0.25"/>
  <cols>
    <col min="1" max="1" width="1.28515625" customWidth="1"/>
    <col min="2" max="2" width="31.85546875" customWidth="1"/>
    <col min="3" max="3" width="65.28515625" customWidth="1"/>
    <col min="4" max="12" width="10.5703125" customWidth="1"/>
    <col min="13" max="13" width="1.5703125" customWidth="1"/>
    <col min="14" max="14" width="6.28515625" hidden="1" customWidth="1"/>
    <col min="15" max="19" width="16.28515625" hidden="1" customWidth="1"/>
    <col min="20" max="20" width="9.140625" hidden="1" customWidth="1"/>
    <col min="21" max="22" width="0" hidden="1" customWidth="1"/>
  </cols>
  <sheetData>
    <row r="2" spans="1:20" ht="85.5" customHeight="1" x14ac:dyDescent="0.25"/>
    <row r="3" spans="1:20" ht="29.25" thickBot="1" x14ac:dyDescent="0.5">
      <c r="B3" s="34" t="s">
        <v>36</v>
      </c>
      <c r="C3" s="34"/>
      <c r="D3" s="34"/>
      <c r="F3" s="72" t="s">
        <v>62</v>
      </c>
      <c r="G3" s="72"/>
      <c r="H3" s="34"/>
      <c r="I3" s="34"/>
      <c r="J3" s="34"/>
      <c r="K3" s="34"/>
      <c r="L3" s="34"/>
    </row>
    <row r="4" spans="1:20" ht="26.25" customHeight="1" thickTop="1" thickBot="1" x14ac:dyDescent="0.3">
      <c r="B4" s="150" t="s">
        <v>3</v>
      </c>
      <c r="C4" s="152" t="s">
        <v>0</v>
      </c>
      <c r="D4" s="154" t="s">
        <v>37</v>
      </c>
      <c r="E4" s="154"/>
      <c r="F4" s="154"/>
      <c r="G4" s="154"/>
      <c r="H4" s="154"/>
      <c r="I4" s="154"/>
      <c r="J4" s="154"/>
      <c r="K4" s="154"/>
      <c r="L4" s="155"/>
      <c r="O4" t="str">
        <f>IF(Q6,IF(O6,".y.36M247",".y.12M247"),IF(O6,".y.36M",".y.z"))</f>
        <v>.y.z</v>
      </c>
    </row>
    <row r="5" spans="1:20" ht="21.75" customHeight="1" thickTop="1" thickBot="1" x14ac:dyDescent="0.3">
      <c r="B5" s="151"/>
      <c r="C5" s="153"/>
      <c r="D5" s="1" t="s">
        <v>1</v>
      </c>
      <c r="E5" s="1" t="s">
        <v>27</v>
      </c>
      <c r="F5" s="2" t="s">
        <v>28</v>
      </c>
      <c r="G5" s="1" t="s">
        <v>29</v>
      </c>
      <c r="H5" s="2" t="s">
        <v>30</v>
      </c>
      <c r="I5" s="1" t="s">
        <v>31</v>
      </c>
      <c r="J5" s="1" t="s">
        <v>32</v>
      </c>
      <c r="K5" s="1" t="s">
        <v>26</v>
      </c>
      <c r="L5" s="3" t="s">
        <v>25</v>
      </c>
      <c r="O5" t="str">
        <f>IF(O6," Гарантийное сопровождение на 3 года."," Годовое гарантийное сопровождение.")</f>
        <v xml:space="preserve"> Годовое гарантийное сопровождение.</v>
      </c>
      <c r="Q5" t="str">
        <f>IF(Q6," Техподдержка 24/7.","")</f>
        <v/>
      </c>
    </row>
    <row r="6" spans="1:20" ht="6.75" customHeight="1" thickTop="1" x14ac:dyDescent="0.25">
      <c r="B6" s="13"/>
      <c r="O6" t="b">
        <v>0</v>
      </c>
      <c r="P6" s="36">
        <f>IF(O6,IF(Q6,1.6,1.35),IF(Q6,1.1,1))</f>
        <v>1</v>
      </c>
      <c r="Q6" t="b">
        <v>0</v>
      </c>
    </row>
    <row r="7" spans="1:20" s="123" customFormat="1" ht="16.5" customHeight="1" thickBot="1" x14ac:dyDescent="0.3">
      <c r="A7" s="121"/>
      <c r="B7" s="122" t="s">
        <v>206</v>
      </c>
      <c r="C7" s="127" t="s">
        <v>211</v>
      </c>
      <c r="D7" s="126" t="s">
        <v>214</v>
      </c>
      <c r="E7" s="126"/>
      <c r="F7" s="128"/>
      <c r="G7" s="128"/>
      <c r="H7" s="128"/>
      <c r="I7" s="128"/>
      <c r="J7" s="128"/>
      <c r="K7" s="128"/>
      <c r="L7" s="126" t="s">
        <v>73</v>
      </c>
      <c r="M7" s="121"/>
      <c r="O7" s="123" t="b">
        <v>0</v>
      </c>
      <c r="P7" s="123">
        <f>IF(O7,5000,0)</f>
        <v>0</v>
      </c>
      <c r="Q7" s="123" t="str">
        <f>IF(O7,"-SP","")</f>
        <v/>
      </c>
      <c r="R7" s="123" t="str">
        <f>IF(O7," Специальная проверка.","")</f>
        <v/>
      </c>
    </row>
    <row r="8" spans="1:20" ht="41.25" customHeight="1" thickTop="1" thickBot="1" x14ac:dyDescent="0.3">
      <c r="A8" s="18"/>
      <c r="B8" s="32" t="str">
        <f>O8&amp;$Q$7&amp;$O$4</f>
        <v>DLTBC.C.PCIe.y.z</v>
      </c>
      <c r="C8" s="45" t="str">
        <f>"СДЗ Dallas Lock PCIe c гарантийным сопровождением (основной пакет) на 1 год,  сертификат ФСТЭК России."&amp;$R$7&amp;O5&amp;Q5</f>
        <v>СДЗ Dallas Lock PCIe c гарантийным сопровождением (основной пакет) на 1 год,  сертификат ФСТЭК России. Годовое гарантийное сопровождение.</v>
      </c>
      <c r="D8" s="10">
        <f>$P$6*31900+$P$7</f>
        <v>31900</v>
      </c>
      <c r="E8" s="10">
        <f>$P$6*31600+$P$7</f>
        <v>31600</v>
      </c>
      <c r="F8" s="10">
        <f>$P$6*31300+$P$7</f>
        <v>31300</v>
      </c>
      <c r="G8" s="10">
        <f>$P$6*31000+$P$7</f>
        <v>31000</v>
      </c>
      <c r="H8" s="10">
        <f>$P$6*30700+$P$7</f>
        <v>30700</v>
      </c>
      <c r="I8" s="10">
        <f>$P$6*30300+$P$7</f>
        <v>30300</v>
      </c>
      <c r="J8" s="10">
        <f>$P$6*30000+$P$7</f>
        <v>30000</v>
      </c>
      <c r="K8" s="10" t="s">
        <v>2</v>
      </c>
      <c r="L8" s="10" t="s">
        <v>2</v>
      </c>
      <c r="M8" s="18"/>
      <c r="O8" t="s">
        <v>207</v>
      </c>
    </row>
    <row r="9" spans="1:20" ht="41.25" customHeight="1" thickTop="1" thickBot="1" x14ac:dyDescent="0.3">
      <c r="A9" s="18"/>
      <c r="B9" s="14" t="str">
        <f>O9&amp;$Q$7&amp;$O$4</f>
        <v>DLTBC.C.M2.y.z</v>
      </c>
      <c r="C9" s="7" t="str">
        <f>"СДЗ Dallas Lock M.2 c гарантийным сопровождением (основной пакет) на 1 год,  сертификат ФСТЭК России."&amp;$R$7&amp;O5&amp;Q5</f>
        <v>СДЗ Dallas Lock M.2 c гарантийным сопровождением (основной пакет) на 1 год,  сертификат ФСТЭК России. Годовое гарантийное сопровождение.</v>
      </c>
      <c r="D9" s="5">
        <f>$P$6*31900+$P$7</f>
        <v>31900</v>
      </c>
      <c r="E9" s="5">
        <f>$P$6*31600+$P$7</f>
        <v>31600</v>
      </c>
      <c r="F9" s="5">
        <f>$P$6*31300+$P$7</f>
        <v>31300</v>
      </c>
      <c r="G9" s="5">
        <f>$P$6*31000+$P$7</f>
        <v>31000</v>
      </c>
      <c r="H9" s="5">
        <f>$P$6*30700+$P$7</f>
        <v>30700</v>
      </c>
      <c r="I9" s="5">
        <f>$P$6*30300+$P$7</f>
        <v>30300</v>
      </c>
      <c r="J9" s="5">
        <f>$P$6*30000+$P$7</f>
        <v>30000</v>
      </c>
      <c r="K9" s="5" t="s">
        <v>2</v>
      </c>
      <c r="L9" s="5" t="s">
        <v>2</v>
      </c>
      <c r="M9" s="18"/>
      <c r="O9" t="s">
        <v>203</v>
      </c>
    </row>
    <row r="10" spans="1:20" ht="41.25" customHeight="1" thickTop="1" thickBot="1" x14ac:dyDescent="0.3">
      <c r="A10" s="18"/>
      <c r="B10" s="32" t="str">
        <f>O10&amp;$Q$7&amp;$O$4</f>
        <v>DLTBC.C.MPCIe.y.z</v>
      </c>
      <c r="C10" s="45" t="str">
        <f>"СДЗ Dallas Lock MiniPCIe c гарантийным сопровождением (основной пакет) на 1 год, сертификат ФСТЭК России."&amp;$R$7&amp;O5&amp;Q5</f>
        <v>СДЗ Dallas Lock MiniPCIe c гарантийным сопровождением (основной пакет) на 1 год, сертификат ФСТЭК России. Годовое гарантийное сопровождение.</v>
      </c>
      <c r="D10" s="10">
        <f>$P$6*69800+$P$7</f>
        <v>69800</v>
      </c>
      <c r="E10" s="10">
        <f>$P$6*69000+$P$7</f>
        <v>69000</v>
      </c>
      <c r="F10" s="10">
        <f>$P$6*68400+$P$7</f>
        <v>68400</v>
      </c>
      <c r="G10" s="10">
        <f>$P$6*67200+$P$7</f>
        <v>67200</v>
      </c>
      <c r="H10" s="10">
        <f>$P$6*66800+$P$7</f>
        <v>66800</v>
      </c>
      <c r="I10" s="10">
        <f>$P$6*66000+$P$7</f>
        <v>66000</v>
      </c>
      <c r="J10" s="10">
        <f>$P$6*65500+$P$7</f>
        <v>65500</v>
      </c>
      <c r="K10" s="10" t="s">
        <v>2</v>
      </c>
      <c r="L10" s="10" t="s">
        <v>2</v>
      </c>
      <c r="M10" s="18"/>
      <c r="O10" t="s">
        <v>208</v>
      </c>
    </row>
    <row r="11" spans="1:20" ht="51" customHeight="1" thickTop="1" thickBot="1" x14ac:dyDescent="0.3">
      <c r="A11" s="18"/>
      <c r="B11" s="14" t="str">
        <f>O11&amp;$Q$7&amp;$O$4</f>
        <v>DLTBC.C.USB.y.z</v>
      </c>
      <c r="C11" s="7" t="str">
        <f>"СДЗ Dallas Lock USB. Российский микроконтроллер «Миландр».                    
C гарантийным сопровождением (основной пакет) на 1 год, сертификат ФСТЭК России****."&amp;$R$7&amp;O5&amp;Q5</f>
        <v>СДЗ Dallas Lock USB. Российский микроконтроллер «Миландр».                    
C гарантийным сопровождением (основной пакет) на 1 год, сертификат ФСТЭК России****. Годовое гарантийное сопровождение.</v>
      </c>
      <c r="D11" s="5">
        <f>$P$6*31900+$P$7</f>
        <v>31900</v>
      </c>
      <c r="E11" s="5">
        <f>$P$6*31600+$P$7</f>
        <v>31600</v>
      </c>
      <c r="F11" s="5">
        <f>$P$6*31300+$P$7</f>
        <v>31300</v>
      </c>
      <c r="G11" s="5">
        <f>$P$6*31000+$P$7</f>
        <v>31000</v>
      </c>
      <c r="H11" s="5">
        <f>$P$6*30700+$P$7</f>
        <v>30700</v>
      </c>
      <c r="I11" s="5">
        <f>$P$6*30300+$P$7</f>
        <v>30300</v>
      </c>
      <c r="J11" s="5">
        <f>$P$6*30000+$P$7</f>
        <v>30000</v>
      </c>
      <c r="K11" s="5" t="s">
        <v>2</v>
      </c>
      <c r="L11" s="5" t="s">
        <v>2</v>
      </c>
      <c r="M11" s="18"/>
      <c r="O11" t="s">
        <v>204</v>
      </c>
    </row>
    <row r="12" spans="1:20" ht="19.5" customHeight="1" thickTop="1" thickBot="1" x14ac:dyDescent="0.3">
      <c r="A12" s="18"/>
      <c r="B12" s="120" t="s">
        <v>202</v>
      </c>
      <c r="C12" s="49"/>
      <c r="D12" s="49"/>
      <c r="E12" s="49"/>
      <c r="F12" s="49"/>
      <c r="G12" s="120"/>
      <c r="H12" s="49"/>
      <c r="I12" s="49"/>
      <c r="J12" s="49"/>
      <c r="K12" s="49"/>
      <c r="L12" s="49"/>
      <c r="M12" s="18"/>
      <c r="O12" t="b">
        <v>0</v>
      </c>
      <c r="P12">
        <f>IF(O7,5000,0)</f>
        <v>0</v>
      </c>
      <c r="Q12" t="str">
        <f>IF(O7,"-SP","")</f>
        <v/>
      </c>
      <c r="R12" t="str">
        <f>IF(O7," Специальная проверка.","")</f>
        <v/>
      </c>
    </row>
    <row r="13" spans="1:20" ht="41.25" customHeight="1" thickTop="1" thickBot="1" x14ac:dyDescent="0.3">
      <c r="A13" s="18"/>
      <c r="B13" s="14" t="str">
        <f>O13&amp;$Q$12&amp;$O$4</f>
        <v>DLTBCMO.C.PCIe.y.z</v>
      </c>
      <c r="C13" s="7" t="str">
        <f>"СДЗ Dallas Lock PCIe c гарантийным сопровождением (основной пакет) на 1 год, сертификат МО России."&amp;$R$12&amp;O5&amp;Q5</f>
        <v>СДЗ Dallas Lock PCIe c гарантийным сопровождением (основной пакет) на 1 год, сертификат МО России. Годовое гарантийное сопровождение.</v>
      </c>
      <c r="D13" s="5">
        <f>$P$6*31900+$P$12</f>
        <v>31900</v>
      </c>
      <c r="E13" s="5">
        <f>$P$6*31600+$P$12</f>
        <v>31600</v>
      </c>
      <c r="F13" s="5">
        <f>$P$6*31300+$P$12</f>
        <v>31300</v>
      </c>
      <c r="G13" s="5">
        <f>$P$6*31000+$P$12</f>
        <v>31000</v>
      </c>
      <c r="H13" s="5">
        <f>$P$6*30700+$P$12</f>
        <v>30700</v>
      </c>
      <c r="I13" s="5">
        <f>$P$6*30300+$P$12</f>
        <v>30300</v>
      </c>
      <c r="J13" s="5">
        <f>$P$6*30000+$P$12</f>
        <v>30000</v>
      </c>
      <c r="K13" s="5" t="s">
        <v>2</v>
      </c>
      <c r="L13" s="5" t="s">
        <v>2</v>
      </c>
      <c r="M13" s="18"/>
      <c r="O13" t="s">
        <v>209</v>
      </c>
    </row>
    <row r="14" spans="1:20" ht="41.25" customHeight="1" thickTop="1" thickBot="1" x14ac:dyDescent="0.3">
      <c r="A14" s="18"/>
      <c r="B14" s="32" t="str">
        <f>O14&amp;$Q$12&amp;$O$4</f>
        <v>DLTBCMO.C.M2.y.z</v>
      </c>
      <c r="C14" s="45" t="str">
        <f>"СДЗ Dallas Lock M.2 c гарантийным сопровождением (основной пакет) на 1 год,  сертификат МО России."&amp;$R$12&amp;O5&amp;Q5</f>
        <v>СДЗ Dallas Lock M.2 c гарантийным сопровождением (основной пакет) на 1 год,  сертификат МО России. Годовое гарантийное сопровождение.</v>
      </c>
      <c r="D14" s="10">
        <f>$P$6*31900+$P$12</f>
        <v>31900</v>
      </c>
      <c r="E14" s="10">
        <f>$P$6*31600+$P$12</f>
        <v>31600</v>
      </c>
      <c r="F14" s="10">
        <f>$P$6*31300+$P$12</f>
        <v>31300</v>
      </c>
      <c r="G14" s="10">
        <f>$P$6*31000+$P$12</f>
        <v>31000</v>
      </c>
      <c r="H14" s="10">
        <f>$P$6*30700+$P$12</f>
        <v>30700</v>
      </c>
      <c r="I14" s="10">
        <f>$P$6*30300+$P$12</f>
        <v>30300</v>
      </c>
      <c r="J14" s="10">
        <f>$P$6*30000+$P$12</f>
        <v>30000</v>
      </c>
      <c r="K14" s="10" t="s">
        <v>2</v>
      </c>
      <c r="L14" s="10" t="s">
        <v>2</v>
      </c>
      <c r="M14" s="18"/>
      <c r="O14" t="s">
        <v>205</v>
      </c>
    </row>
    <row r="15" spans="1:20" ht="41.25" customHeight="1" thickTop="1" thickBot="1" x14ac:dyDescent="0.3">
      <c r="A15" s="18"/>
      <c r="B15" s="14" t="str">
        <f>O15&amp;$Q$12&amp;$O$4</f>
        <v>DLTBCMO.C.MPCIe.y.z</v>
      </c>
      <c r="C15" s="7" t="str">
        <f>"СДЗ Dallas Lock MiniPCIe c гарантийным сопровождением (основной пакет) на 1 год, сертификат МО России."&amp;$R$12&amp;O5&amp;Q5</f>
        <v>СДЗ Dallas Lock MiniPCIe c гарантийным сопровождением (основной пакет) на 1 год, сертификат МО России. Годовое гарантийное сопровождение.</v>
      </c>
      <c r="D15" s="5">
        <f>$P$6*69800+$P$12</f>
        <v>69800</v>
      </c>
      <c r="E15" s="5">
        <f>$P$6*69000+$P$12</f>
        <v>69000</v>
      </c>
      <c r="F15" s="5">
        <f>$P$6*68400+$P$12</f>
        <v>68400</v>
      </c>
      <c r="G15" s="5">
        <f>$P$6*67200+$P$12</f>
        <v>67200</v>
      </c>
      <c r="H15" s="5">
        <f>$P$6*66800+$P$12</f>
        <v>66800</v>
      </c>
      <c r="I15" s="5">
        <f>$P$6*66000+$P$12</f>
        <v>66000</v>
      </c>
      <c r="J15" s="5">
        <f>$P$6*65500+$P$12</f>
        <v>65500</v>
      </c>
      <c r="K15" s="5" t="s">
        <v>2</v>
      </c>
      <c r="L15" s="5" t="s">
        <v>2</v>
      </c>
      <c r="M15" s="18"/>
      <c r="O15" t="s">
        <v>210</v>
      </c>
    </row>
    <row r="16" spans="1:20" ht="6.75" customHeight="1" thickTop="1" x14ac:dyDescent="0.25">
      <c r="A16" s="18"/>
      <c r="B16" s="20"/>
      <c r="C16" s="18"/>
      <c r="D16" s="18"/>
      <c r="E16" s="18"/>
      <c r="F16" s="18"/>
      <c r="G16" s="18"/>
      <c r="H16" s="18"/>
      <c r="I16" s="18"/>
      <c r="J16" s="18"/>
      <c r="K16" s="18"/>
      <c r="L16" s="18"/>
      <c r="M16" s="18"/>
      <c r="O16" s="50"/>
      <c r="P16" s="50"/>
      <c r="Q16" s="50"/>
      <c r="R16" s="50"/>
      <c r="S16" s="50"/>
      <c r="T16" s="50"/>
    </row>
    <row r="17" spans="1:20" s="116" customFormat="1" ht="6.75" customHeight="1" x14ac:dyDescent="0.25">
      <c r="B17" s="124"/>
      <c r="O17" s="125"/>
      <c r="P17" s="125"/>
      <c r="Q17" s="125"/>
      <c r="R17" s="125"/>
      <c r="S17" s="125"/>
      <c r="T17" s="125"/>
    </row>
    <row r="18" spans="1:20" ht="15.75" customHeight="1" thickBot="1" x14ac:dyDescent="0.3">
      <c r="A18" s="18"/>
      <c r="B18" s="120" t="s">
        <v>213</v>
      </c>
      <c r="C18" s="18"/>
      <c r="D18" s="18"/>
      <c r="E18" s="18"/>
      <c r="F18" s="18"/>
      <c r="G18" s="18"/>
      <c r="H18" s="18"/>
      <c r="I18" s="18"/>
      <c r="J18" s="18"/>
      <c r="K18" s="18"/>
      <c r="L18" s="18"/>
      <c r="M18" s="18"/>
      <c r="O18" s="50"/>
      <c r="P18" s="50"/>
      <c r="Q18" s="50"/>
      <c r="R18" s="50"/>
      <c r="S18" s="50"/>
      <c r="T18" s="50"/>
    </row>
    <row r="19" spans="1:20" ht="41.25" customHeight="1" thickTop="1" thickBot="1" x14ac:dyDescent="0.3">
      <c r="A19" s="18"/>
      <c r="B19" s="26" t="s">
        <v>9</v>
      </c>
      <c r="C19" s="8" t="s">
        <v>200</v>
      </c>
      <c r="D19" s="161">
        <v>700</v>
      </c>
      <c r="E19" s="162"/>
      <c r="F19" s="162"/>
      <c r="G19" s="162"/>
      <c r="H19" s="162"/>
      <c r="I19" s="162"/>
      <c r="J19" s="162"/>
      <c r="K19" s="162"/>
      <c r="L19" s="163"/>
      <c r="M19" s="18"/>
    </row>
    <row r="20" spans="1:20" ht="41.25" customHeight="1" thickTop="1" thickBot="1" x14ac:dyDescent="0.3">
      <c r="A20" s="18"/>
      <c r="B20" s="14" t="s">
        <v>10</v>
      </c>
      <c r="C20" s="7" t="s">
        <v>201</v>
      </c>
      <c r="D20" s="164">
        <v>1000</v>
      </c>
      <c r="E20" s="165"/>
      <c r="F20" s="165"/>
      <c r="G20" s="165"/>
      <c r="H20" s="165"/>
      <c r="I20" s="165"/>
      <c r="J20" s="165"/>
      <c r="K20" s="165"/>
      <c r="L20" s="166"/>
      <c r="M20" s="18"/>
      <c r="O20" s="50"/>
      <c r="P20" s="50"/>
      <c r="Q20" s="50"/>
      <c r="R20" s="50"/>
      <c r="S20" s="50"/>
      <c r="T20" s="50"/>
    </row>
    <row r="21" spans="1:20" ht="6.75" customHeight="1" thickTop="1" x14ac:dyDescent="0.25">
      <c r="A21" s="18"/>
      <c r="B21" s="20"/>
      <c r="C21" s="18"/>
      <c r="D21" s="18"/>
      <c r="E21" s="18"/>
      <c r="F21" s="18"/>
      <c r="G21" s="18"/>
      <c r="H21" s="18"/>
      <c r="I21" s="18"/>
      <c r="J21" s="18"/>
      <c r="K21" s="18"/>
      <c r="L21" s="18"/>
      <c r="M21" s="18"/>
      <c r="O21" s="50"/>
      <c r="P21" s="50"/>
      <c r="Q21" s="50"/>
      <c r="R21" s="50"/>
      <c r="S21" s="50"/>
      <c r="T21" s="50"/>
    </row>
    <row r="22" spans="1:20" ht="9.75" customHeight="1" x14ac:dyDescent="0.25">
      <c r="B22" s="13"/>
      <c r="O22" t="str">
        <f>IF(O23,"Гарантийное сопровождение на 3 года.","Годовое гарантийное сопровождение.")</f>
        <v>Годовое гарантийное сопровождение.</v>
      </c>
      <c r="Q22" t="str">
        <f>IF(Q23," Техподдержка 24/7.","")</f>
        <v/>
      </c>
      <c r="R22" s="50"/>
      <c r="S22" s="50"/>
      <c r="T22" s="50"/>
    </row>
    <row r="23" spans="1:20" ht="15.75" thickBot="1" x14ac:dyDescent="0.3">
      <c r="A23" s="18"/>
      <c r="B23" s="19" t="s">
        <v>102</v>
      </c>
      <c r="C23" s="18"/>
      <c r="D23" s="29" t="s">
        <v>212</v>
      </c>
      <c r="E23" s="29"/>
      <c r="F23" s="18"/>
      <c r="G23" s="18"/>
      <c r="H23" s="18"/>
      <c r="I23" s="18"/>
      <c r="J23" s="18"/>
      <c r="K23" s="18"/>
      <c r="L23" s="29" t="s">
        <v>73</v>
      </c>
      <c r="M23" s="18"/>
      <c r="O23" s="50" t="b">
        <v>0</v>
      </c>
      <c r="P23" s="51">
        <f>IF(O23,IF(Q23,1.6,1.35),IF(Q23,1.1,1))</f>
        <v>1</v>
      </c>
      <c r="Q23" s="50" t="b">
        <v>0</v>
      </c>
      <c r="R23" s="50"/>
      <c r="S23" s="50"/>
      <c r="T23" s="50"/>
    </row>
    <row r="24" spans="1:20" ht="41.25" customHeight="1" thickTop="1" thickBot="1" x14ac:dyDescent="0.3">
      <c r="A24" s="18"/>
      <c r="B24" s="14" t="str">
        <f>IF($Q$23,IF($O$23,"DLTBB.C.y.36M247","DLTBB.C.y.12M247"),IF($O$23,"DLTBB.C.y.36M","DLTBB.C.y.z"))</f>
        <v>DLTBB.C.y.z</v>
      </c>
      <c r="C24" s="7" t="str">
        <f>"СДЗ УБ Dallas Lock
Право на использование***. Бессрочная лицензия.
"&amp;O22&amp;Q22</f>
        <v>СДЗ УБ Dallas Lock
Право на использование***. Бессрочная лицензия.
Годовое гарантийное сопровождение.</v>
      </c>
      <c r="D24" s="53">
        <f>$P$23*7400</f>
        <v>7400</v>
      </c>
      <c r="E24" s="53">
        <f>$P$23*7000</f>
        <v>7000</v>
      </c>
      <c r="F24" s="53">
        <f>$P$23*6600</f>
        <v>6600</v>
      </c>
      <c r="G24" s="53">
        <f>$P$23*6300</f>
        <v>6300</v>
      </c>
      <c r="H24" s="53">
        <f>$P$23*5800</f>
        <v>5800</v>
      </c>
      <c r="I24" s="53">
        <f>$P$23*5600</f>
        <v>5600</v>
      </c>
      <c r="J24" s="53">
        <f>$P$23*5300</f>
        <v>5300</v>
      </c>
      <c r="K24" s="5">
        <v>4400</v>
      </c>
      <c r="L24" s="5" t="s">
        <v>2</v>
      </c>
      <c r="M24" s="18"/>
      <c r="O24" s="50"/>
      <c r="P24" s="51"/>
      <c r="Q24" s="50"/>
      <c r="R24" s="50"/>
      <c r="S24" s="50"/>
      <c r="T24" s="50"/>
    </row>
    <row r="25" spans="1:20" ht="41.25" customHeight="1" thickTop="1" thickBot="1" x14ac:dyDescent="0.3">
      <c r="A25" s="18"/>
      <c r="B25" s="26" t="s">
        <v>98</v>
      </c>
      <c r="C25" s="8" t="str">
        <f>"СДЗ УБ Dallas Lock
Сертифицированный комплект для установки**.
"&amp;O22&amp;Q22</f>
        <v>СДЗ УБ Dallas Lock
Сертифицированный комплект для установки**.
Годовое гарантийное сопровождение.</v>
      </c>
      <c r="D25" s="161">
        <v>1500</v>
      </c>
      <c r="E25" s="162"/>
      <c r="F25" s="162"/>
      <c r="G25" s="162"/>
      <c r="H25" s="162"/>
      <c r="I25" s="162"/>
      <c r="J25" s="162"/>
      <c r="K25" s="162"/>
      <c r="L25" s="163"/>
      <c r="M25" s="18"/>
      <c r="O25" s="50"/>
      <c r="P25" s="50"/>
      <c r="Q25" s="50"/>
      <c r="R25" s="50"/>
      <c r="S25" s="50"/>
      <c r="T25" s="50"/>
    </row>
    <row r="26" spans="1:20" ht="6.75" customHeight="1" thickTop="1" x14ac:dyDescent="0.25">
      <c r="A26" s="18"/>
      <c r="B26" s="20"/>
      <c r="C26" s="18"/>
      <c r="D26" s="18"/>
      <c r="E26" s="18"/>
      <c r="F26" s="18"/>
      <c r="G26" s="18"/>
      <c r="H26" s="18"/>
      <c r="I26" s="18"/>
      <c r="J26" s="18"/>
      <c r="K26" s="18"/>
      <c r="L26" s="18"/>
      <c r="M26" s="18"/>
      <c r="O26" s="50"/>
      <c r="P26" s="50"/>
      <c r="Q26" s="50"/>
      <c r="R26" s="50"/>
      <c r="S26" s="50"/>
      <c r="T26" s="50"/>
    </row>
    <row r="27" spans="1:20" ht="9.75" customHeight="1" x14ac:dyDescent="0.25">
      <c r="B27" s="13"/>
      <c r="O27" t="str">
        <f>IF(O28," Гарантийное сопровождение на 3 года."," Годовое гарантийное сопровождение.")</f>
        <v xml:space="preserve"> Годовое гарантийное сопровождение.</v>
      </c>
      <c r="Q27" t="str">
        <f>IF(Q28," Техподдержка 24/7.","")</f>
        <v/>
      </c>
      <c r="R27" s="50"/>
      <c r="S27" s="50"/>
      <c r="T27" s="50"/>
    </row>
    <row r="28" spans="1:20" ht="15.75" thickBot="1" x14ac:dyDescent="0.3">
      <c r="A28" s="18"/>
      <c r="B28" s="19" t="s">
        <v>101</v>
      </c>
      <c r="C28" s="18"/>
      <c r="D28" s="29" t="s">
        <v>212</v>
      </c>
      <c r="E28" s="29"/>
      <c r="F28" s="18"/>
      <c r="G28" s="18"/>
      <c r="H28" s="18"/>
      <c r="I28" s="18"/>
      <c r="J28" s="18"/>
      <c r="K28" s="18"/>
      <c r="L28" s="29" t="s">
        <v>73</v>
      </c>
      <c r="M28" s="18"/>
      <c r="O28" s="50" t="b">
        <v>0</v>
      </c>
      <c r="P28" s="51">
        <f>IF(O28,IF(Q28,1.6,1.35),IF(Q28,1.1,1))</f>
        <v>1</v>
      </c>
      <c r="Q28" s="50" t="b">
        <v>0</v>
      </c>
      <c r="R28" s="50"/>
      <c r="S28" s="50"/>
      <c r="T28" s="50"/>
    </row>
    <row r="29" spans="1:20" ht="41.25" customHeight="1" thickTop="1" thickBot="1" x14ac:dyDescent="0.3">
      <c r="A29" s="18"/>
      <c r="B29" s="14" t="str">
        <f>IF($Q$28,IF($O$28,"DLMC.S.N3.x.36M247","DLMC.S.N3.x.12M247"),IF($O$28,"DLMC.S.N3.x.36M","DLMC.S.N3.x.z"))</f>
        <v>DLMC.S.N3.x.z</v>
      </c>
      <c r="C29" s="7" t="str">
        <f>"Единый центр управления Dallas Lock. Максимальное количество сетевых устройств для мониторинга: 3. Право на использование**. Бессрочная лицензия."&amp;O27&amp;Q27</f>
        <v>Единый центр управления Dallas Lock. Максимальное количество сетевых устройств для мониторинга: 3. Право на использование**. Бессрочная лицензия. Годовое гарантийное сопровождение.</v>
      </c>
      <c r="D29" s="5">
        <f>$P$28*10000</f>
        <v>10000</v>
      </c>
      <c r="E29" s="5">
        <f>$P$28*25000</f>
        <v>25000</v>
      </c>
      <c r="F29" s="5">
        <f>$P$28*50000</f>
        <v>50000</v>
      </c>
      <c r="G29" s="5">
        <f>$P$28*112000</f>
        <v>112000</v>
      </c>
      <c r="H29" s="5">
        <f>$P$28*220000</f>
        <v>220000</v>
      </c>
      <c r="I29" s="5">
        <f>$P$28*320000</f>
        <v>320000</v>
      </c>
      <c r="J29" s="5">
        <f>$P$28*420000</f>
        <v>420000</v>
      </c>
      <c r="K29" s="5">
        <f>$P$28*495000</f>
        <v>495000</v>
      </c>
      <c r="L29" s="5">
        <f>$P$28*920000</f>
        <v>920000</v>
      </c>
      <c r="M29" s="18"/>
      <c r="O29" s="50"/>
      <c r="P29" s="50"/>
      <c r="Q29" s="50"/>
      <c r="R29" s="50"/>
      <c r="S29" s="50"/>
      <c r="T29" s="50"/>
    </row>
    <row r="30" spans="1:20" ht="17.25" customHeight="1" thickTop="1" x14ac:dyDescent="0.25">
      <c r="A30" s="18"/>
      <c r="B30" s="19"/>
      <c r="C30" s="18"/>
      <c r="D30" s="18"/>
      <c r="E30" s="18"/>
      <c r="F30" s="18"/>
      <c r="G30" s="18"/>
      <c r="H30" s="18"/>
      <c r="I30" s="18"/>
      <c r="J30" s="18"/>
      <c r="K30" s="18"/>
      <c r="L30" s="18"/>
      <c r="M30" s="18"/>
    </row>
    <row r="31" spans="1:20" ht="45.75" customHeight="1" x14ac:dyDescent="0.25">
      <c r="B31" s="13"/>
    </row>
    <row r="32" spans="1:20" x14ac:dyDescent="0.25">
      <c r="A32" s="16"/>
      <c r="B32" s="17" t="s">
        <v>33</v>
      </c>
      <c r="C32" s="16"/>
      <c r="D32" s="16"/>
      <c r="E32" s="16"/>
      <c r="F32" s="16"/>
      <c r="G32" s="16"/>
      <c r="H32" s="16"/>
      <c r="I32" s="16"/>
      <c r="J32" s="16"/>
      <c r="K32" s="16"/>
      <c r="L32" s="16"/>
      <c r="M32" s="16"/>
    </row>
    <row r="33" spans="13:13" ht="41.25" customHeight="1" x14ac:dyDescent="0.25">
      <c r="M33" s="4"/>
    </row>
    <row r="34" spans="13:13" ht="41.25" customHeight="1" x14ac:dyDescent="0.25">
      <c r="M34" s="4"/>
    </row>
    <row r="35" spans="13:13" ht="41.25" customHeight="1" x14ac:dyDescent="0.25">
      <c r="M35" s="4"/>
    </row>
    <row r="36" spans="13:13" ht="41.25" customHeight="1" x14ac:dyDescent="0.25">
      <c r="M36" s="4"/>
    </row>
    <row r="37" spans="13:13" ht="41.25" customHeight="1" x14ac:dyDescent="0.25">
      <c r="M37" s="4"/>
    </row>
    <row r="38" spans="13:13" ht="41.25" customHeight="1" x14ac:dyDescent="0.25">
      <c r="M38" s="4"/>
    </row>
    <row r="39" spans="13:13" ht="41.25" customHeight="1" x14ac:dyDescent="0.25">
      <c r="M39" s="4"/>
    </row>
    <row r="40" spans="13:13" ht="41.25" customHeight="1" x14ac:dyDescent="0.25">
      <c r="M40" s="4"/>
    </row>
    <row r="41" spans="13:13" ht="41.25" customHeight="1" x14ac:dyDescent="0.25">
      <c r="M41" s="4"/>
    </row>
    <row r="42" spans="13:13" ht="41.25" customHeight="1" x14ac:dyDescent="0.25">
      <c r="M42" s="4"/>
    </row>
    <row r="43" spans="13:13" ht="41.25" customHeight="1" x14ac:dyDescent="0.25">
      <c r="M43" s="4"/>
    </row>
    <row r="44" spans="13:13" ht="41.25" customHeight="1" x14ac:dyDescent="0.25">
      <c r="M44" s="4"/>
    </row>
    <row r="45" spans="13:13" x14ac:dyDescent="0.25">
      <c r="M45" s="4"/>
    </row>
    <row r="46" spans="13:13" x14ac:dyDescent="0.25">
      <c r="M46" s="4"/>
    </row>
    <row r="47" spans="13:13" x14ac:dyDescent="0.25">
      <c r="M47" s="4"/>
    </row>
    <row r="48" spans="13:13" x14ac:dyDescent="0.25">
      <c r="M48" s="4"/>
    </row>
  </sheetData>
  <mergeCells count="6">
    <mergeCell ref="D25:L25"/>
    <mergeCell ref="B4:B5"/>
    <mergeCell ref="C4:C5"/>
    <mergeCell ref="D4:L4"/>
    <mergeCell ref="D20:L20"/>
    <mergeCell ref="D19:L19"/>
  </mergeCells>
  <conditionalFormatting sqref="A7:M7 A7:A16 M7:M16 A12:M12 A16:M16">
    <cfRule type="expression" dxfId="40" priority="2">
      <formula>$P$6&lt;&gt;1</formula>
    </cfRule>
  </conditionalFormatting>
  <conditionalFormatting sqref="A23:M23 A24:A25 M24:M25 A26:M26">
    <cfRule type="expression" dxfId="39" priority="8">
      <formula>$P$23&lt;&gt;1</formula>
    </cfRule>
  </conditionalFormatting>
  <conditionalFormatting sqref="A28:M28 A29:A30 M29:M30 B30:L30">
    <cfRule type="expression" dxfId="38" priority="7">
      <formula>$P$28&lt;&gt;1</formula>
    </cfRule>
  </conditionalFormatting>
  <pageMargins left="0.59055118110236227" right="0.39370078740157483" top="0.23622047244094491" bottom="0.23622047244094491" header="0.31496062992125984" footer="0.31496062992125984"/>
  <pageSetup paperSize="9" scale="4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43" r:id="rId4" name="Check Box 3">
              <controlPr defaultSize="0" autoFill="0" autoLine="0" autoPict="0">
                <anchor moveWithCells="1">
                  <from>
                    <xdr:col>10</xdr:col>
                    <xdr:colOff>504825</xdr:colOff>
                    <xdr:row>5</xdr:row>
                    <xdr:rowOff>47625</xdr:rowOff>
                  </from>
                  <to>
                    <xdr:col>11</xdr:col>
                    <xdr:colOff>47625</xdr:colOff>
                    <xdr:row>6</xdr:row>
                    <xdr:rowOff>200025</xdr:rowOff>
                  </to>
                </anchor>
              </controlPr>
            </control>
          </mc:Choice>
        </mc:AlternateContent>
        <mc:AlternateContent xmlns:mc="http://schemas.openxmlformats.org/markup-compatibility/2006">
          <mc:Choice Requires="x14">
            <control shapeId="10247" r:id="rId5" name="Check Box 7">
              <controlPr defaultSize="0" autoFill="0" autoLine="0" autoPict="0">
                <anchor moveWithCells="1">
                  <from>
                    <xdr:col>3</xdr:col>
                    <xdr:colOff>9525</xdr:colOff>
                    <xdr:row>26</xdr:row>
                    <xdr:rowOff>95250</xdr:rowOff>
                  </from>
                  <to>
                    <xdr:col>3</xdr:col>
                    <xdr:colOff>209550</xdr:colOff>
                    <xdr:row>28</xdr:row>
                    <xdr:rowOff>19050</xdr:rowOff>
                  </to>
                </anchor>
              </controlPr>
            </control>
          </mc:Choice>
        </mc:AlternateContent>
        <mc:AlternateContent xmlns:mc="http://schemas.openxmlformats.org/markup-compatibility/2006">
          <mc:Choice Requires="x14">
            <control shapeId="10248" r:id="rId6" name="Check Box 8">
              <controlPr defaultSize="0" autoFill="0" autoLine="0" autoPict="0">
                <anchor moveWithCells="1">
                  <from>
                    <xdr:col>10</xdr:col>
                    <xdr:colOff>533400</xdr:colOff>
                    <xdr:row>26</xdr:row>
                    <xdr:rowOff>95250</xdr:rowOff>
                  </from>
                  <to>
                    <xdr:col>11</xdr:col>
                    <xdr:colOff>76200</xdr:colOff>
                    <xdr:row>28</xdr:row>
                    <xdr:rowOff>9525</xdr:rowOff>
                  </to>
                </anchor>
              </controlPr>
            </control>
          </mc:Choice>
        </mc:AlternateContent>
        <mc:AlternateContent xmlns:mc="http://schemas.openxmlformats.org/markup-compatibility/2006">
          <mc:Choice Requires="x14">
            <control shapeId="10244" r:id="rId7" name="Check Box 4">
              <controlPr defaultSize="0" autoFill="0" autoLine="0" autoPict="0">
                <anchor moveWithCells="1">
                  <from>
                    <xdr:col>10</xdr:col>
                    <xdr:colOff>533400</xdr:colOff>
                    <xdr:row>21</xdr:row>
                    <xdr:rowOff>95250</xdr:rowOff>
                  </from>
                  <to>
                    <xdr:col>11</xdr:col>
                    <xdr:colOff>76200</xdr:colOff>
                    <xdr:row>23</xdr:row>
                    <xdr:rowOff>9525</xdr:rowOff>
                  </to>
                </anchor>
              </controlPr>
            </control>
          </mc:Choice>
        </mc:AlternateContent>
        <mc:AlternateContent xmlns:mc="http://schemas.openxmlformats.org/markup-compatibility/2006">
          <mc:Choice Requires="x14">
            <control shapeId="10249" r:id="rId8" name="Check Box 9">
              <controlPr defaultSize="0" autoFill="0" autoLine="0" autoPict="0">
                <anchor moveWithCells="1">
                  <from>
                    <xdr:col>3</xdr:col>
                    <xdr:colOff>9525</xdr:colOff>
                    <xdr:row>21</xdr:row>
                    <xdr:rowOff>85725</xdr:rowOff>
                  </from>
                  <to>
                    <xdr:col>3</xdr:col>
                    <xdr:colOff>200025</xdr:colOff>
                    <xdr:row>23</xdr:row>
                    <xdr:rowOff>9525</xdr:rowOff>
                  </to>
                </anchor>
              </controlPr>
            </control>
          </mc:Choice>
        </mc:AlternateContent>
        <mc:AlternateContent xmlns:mc="http://schemas.openxmlformats.org/markup-compatibility/2006">
          <mc:Choice Requires="x14">
            <control shapeId="10250" r:id="rId9" name="Check Box 10">
              <controlPr defaultSize="0" autoFill="0" autoLine="0" autoPict="0">
                <anchor moveWithCells="1">
                  <from>
                    <xdr:col>3</xdr:col>
                    <xdr:colOff>381000</xdr:colOff>
                    <xdr:row>5</xdr:row>
                    <xdr:rowOff>47625</xdr:rowOff>
                  </from>
                  <to>
                    <xdr:col>3</xdr:col>
                    <xdr:colOff>704850</xdr:colOff>
                    <xdr:row>7</xdr:row>
                    <xdr:rowOff>19050</xdr:rowOff>
                  </to>
                </anchor>
              </controlPr>
            </control>
          </mc:Choice>
        </mc:AlternateContent>
        <mc:AlternateContent xmlns:mc="http://schemas.openxmlformats.org/markup-compatibility/2006">
          <mc:Choice Requires="x14">
            <control shapeId="10251" r:id="rId10" name="Check Box 11">
              <controlPr defaultSize="0" autoFill="0" autoLine="0" autoPict="0">
                <anchor moveWithCells="1">
                  <from>
                    <xdr:col>2</xdr:col>
                    <xdr:colOff>2686050</xdr:colOff>
                    <xdr:row>5</xdr:row>
                    <xdr:rowOff>47625</xdr:rowOff>
                  </from>
                  <to>
                    <xdr:col>2</xdr:col>
                    <xdr:colOff>2895600</xdr:colOff>
                    <xdr:row>7</xdr:row>
                    <xdr:rowOff>19050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AC38"/>
  <sheetViews>
    <sheetView showGridLines="0" showRowColHeaders="0" zoomScaleNormal="100" workbookViewId="0">
      <selection activeCell="E11" sqref="E11"/>
    </sheetView>
  </sheetViews>
  <sheetFormatPr defaultColWidth="9.140625" defaultRowHeight="15" x14ac:dyDescent="0.25"/>
  <cols>
    <col min="1" max="1" width="1.28515625" customWidth="1"/>
    <col min="2" max="2" width="34.140625" customWidth="1"/>
    <col min="3" max="3" width="58.85546875" customWidth="1"/>
    <col min="4" max="11" width="12.7109375" customWidth="1"/>
    <col min="12" max="12" width="10.42578125" customWidth="1"/>
    <col min="13" max="13" width="2.28515625" customWidth="1"/>
    <col min="14" max="14" width="3.140625" customWidth="1"/>
    <col min="15" max="15" width="8.5703125" hidden="1" customWidth="1"/>
    <col min="16" max="16" width="4.42578125" hidden="1" customWidth="1"/>
    <col min="17" max="17" width="11.28515625" hidden="1" customWidth="1"/>
    <col min="18" max="18" width="8.5703125" hidden="1" customWidth="1"/>
    <col min="19" max="19" width="13.140625" hidden="1" customWidth="1"/>
    <col min="20" max="20" width="7.28515625" hidden="1" customWidth="1"/>
    <col min="21" max="21" width="7" customWidth="1"/>
    <col min="22" max="22" width="6.140625" customWidth="1"/>
    <col min="23" max="23" width="11.42578125" customWidth="1"/>
    <col min="24" max="24" width="12" customWidth="1"/>
    <col min="25" max="25" width="10.85546875" customWidth="1"/>
    <col min="26" max="26" width="9.85546875" customWidth="1"/>
    <col min="27" max="27" width="14.7109375" customWidth="1"/>
    <col min="28" max="28" width="20.85546875" customWidth="1"/>
  </cols>
  <sheetData>
    <row r="2" spans="1:29" ht="93" customHeight="1" x14ac:dyDescent="0.25"/>
    <row r="3" spans="1:29" ht="29.25" thickBot="1" x14ac:dyDescent="0.5">
      <c r="B3" s="34" t="s">
        <v>35</v>
      </c>
      <c r="C3" s="34"/>
      <c r="D3" s="34"/>
      <c r="E3" s="73"/>
      <c r="F3" s="73" t="s">
        <v>62</v>
      </c>
      <c r="G3" s="34"/>
      <c r="H3" s="34"/>
      <c r="I3" s="34"/>
      <c r="J3" s="34"/>
      <c r="K3" s="34"/>
      <c r="L3" s="34"/>
    </row>
    <row r="4" spans="1:29" ht="26.25" customHeight="1" thickTop="1" thickBot="1" x14ac:dyDescent="0.3">
      <c r="B4" s="150" t="s">
        <v>3</v>
      </c>
      <c r="C4" s="152" t="s">
        <v>0</v>
      </c>
      <c r="D4" s="154" t="s">
        <v>7</v>
      </c>
      <c r="E4" s="154"/>
      <c r="F4" s="154"/>
      <c r="G4" s="154"/>
      <c r="H4" s="154"/>
      <c r="I4" s="154"/>
      <c r="J4" s="154"/>
      <c r="K4" s="154"/>
      <c r="L4" s="155"/>
    </row>
    <row r="5" spans="1:29" ht="21.75" customHeight="1" thickTop="1" thickBot="1" x14ac:dyDescent="0.3">
      <c r="B5" s="151"/>
      <c r="C5" s="153"/>
      <c r="D5" s="1" t="s">
        <v>1</v>
      </c>
      <c r="E5" s="1" t="s">
        <v>27</v>
      </c>
      <c r="F5" s="2" t="s">
        <v>28</v>
      </c>
      <c r="G5" s="1" t="s">
        <v>29</v>
      </c>
      <c r="H5" s="2" t="s">
        <v>30</v>
      </c>
      <c r="I5" s="1" t="s">
        <v>31</v>
      </c>
      <c r="J5" s="1" t="s">
        <v>32</v>
      </c>
      <c r="K5" s="1" t="s">
        <v>26</v>
      </c>
      <c r="L5" s="3" t="s">
        <v>25</v>
      </c>
      <c r="P5">
        <v>1.1000000000000001</v>
      </c>
    </row>
    <row r="6" spans="1:29" ht="9.75" customHeight="1" thickTop="1" x14ac:dyDescent="0.25">
      <c r="B6" s="13"/>
      <c r="O6" t="b">
        <v>0</v>
      </c>
      <c r="Q6" t="b">
        <v>0</v>
      </c>
    </row>
    <row r="7" spans="1:29" ht="15.75" thickBot="1" x14ac:dyDescent="0.3">
      <c r="A7" s="18"/>
      <c r="B7" s="19" t="s">
        <v>24</v>
      </c>
      <c r="C7" s="18"/>
      <c r="D7" s="29" t="s">
        <v>118</v>
      </c>
      <c r="E7" s="29"/>
      <c r="F7" s="18"/>
      <c r="G7" s="18"/>
      <c r="H7" s="18"/>
      <c r="I7" s="18"/>
      <c r="J7" s="18"/>
      <c r="K7" s="29" t="s">
        <v>73</v>
      </c>
      <c r="L7" s="29"/>
      <c r="M7" s="18"/>
      <c r="O7" t="b">
        <v>0</v>
      </c>
      <c r="P7" s="36">
        <f>IF(O7,IF(Q7,1.6,1.35),IF(Q7,1.1,1))</f>
        <v>1</v>
      </c>
      <c r="Q7" t="b">
        <v>0</v>
      </c>
    </row>
    <row r="8" spans="1:29" ht="41.25" customHeight="1" thickTop="1" thickBot="1" x14ac:dyDescent="0.3">
      <c r="A8" s="29"/>
      <c r="B8" s="52" t="str">
        <f>IF($Q$7,IF($O$7,"DLLNX80K.C.UADS-ITC.x.36M247","DLLNX80K.C.UADS-ITC.x.12M247"),IF($O$7,"DLLNX80K.C.UADS-ITC.x.36M","DLLNX80K.C.UADS-ITC.x.z"))</f>
        <v>DLLNX80K.C.UADS-ITC.x.z</v>
      </c>
      <c r="C8" s="7" t="s">
        <v>125</v>
      </c>
      <c r="D8" s="5">
        <f>$P$7*13300</f>
        <v>13300</v>
      </c>
      <c r="E8" s="5">
        <f>$P$7*12800</f>
        <v>12800</v>
      </c>
      <c r="F8" s="53">
        <f>$P$7*12200</f>
        <v>12200</v>
      </c>
      <c r="G8" s="53">
        <f>$P$7*11700</f>
        <v>11700</v>
      </c>
      <c r="H8" s="53">
        <f>$P$7*11100</f>
        <v>11100</v>
      </c>
      <c r="I8" s="53">
        <f>$P$7*10300</f>
        <v>10300</v>
      </c>
      <c r="J8" s="53">
        <f>$P$7*7800</f>
        <v>7800</v>
      </c>
      <c r="K8" s="53">
        <f>$P$7*7100</f>
        <v>7100</v>
      </c>
      <c r="L8" s="54" t="s">
        <v>2</v>
      </c>
      <c r="M8" s="29"/>
      <c r="P8">
        <v>1</v>
      </c>
    </row>
    <row r="9" spans="1:29" ht="41.25" customHeight="1" thickTop="1" thickBot="1" x14ac:dyDescent="0.3">
      <c r="A9" s="29"/>
      <c r="B9" s="28" t="str">
        <f>IF($Q$7,IF($O$7,"DLLNX80K.C.FW.x.36M247","DLLNX80K.C.FW.x.12M247"),IF($O$7,"DLLNX80K.C.FW.x.36M","DLLNX80K.C.FW.x.z"))</f>
        <v>DLLNX80K.C.FW.x.z</v>
      </c>
      <c r="C9" s="45" t="s">
        <v>173</v>
      </c>
      <c r="D9" s="55">
        <f>$P$7*2500</f>
        <v>2500</v>
      </c>
      <c r="E9" s="55">
        <f>$P$7*2200</f>
        <v>2200</v>
      </c>
      <c r="F9" s="55">
        <f>$P$7*2100</f>
        <v>2100</v>
      </c>
      <c r="G9" s="55">
        <f>$P$7*2000</f>
        <v>2000</v>
      </c>
      <c r="H9" s="55">
        <f>$P$7*1900</f>
        <v>1900</v>
      </c>
      <c r="I9" s="55">
        <f>$P$7*1800</f>
        <v>1800</v>
      </c>
      <c r="J9" s="55">
        <f>$P$7*1400</f>
        <v>1400</v>
      </c>
      <c r="K9" s="55">
        <f>$P$7*1300</f>
        <v>1300</v>
      </c>
      <c r="L9" s="55" t="s">
        <v>2</v>
      </c>
      <c r="M9" s="29"/>
      <c r="O9" s="65" t="b">
        <v>0</v>
      </c>
      <c r="P9" s="65">
        <f>IF(O9,1,0)</f>
        <v>0</v>
      </c>
      <c r="Q9" t="str">
        <f>IF(O9,"-FW","")</f>
        <v/>
      </c>
      <c r="R9" s="65" t="str">
        <f>IF(O9,", МЭ","")</f>
        <v/>
      </c>
      <c r="T9" s="65">
        <f>P9</f>
        <v>0</v>
      </c>
      <c r="AC9" s="68"/>
    </row>
    <row r="10" spans="1:29" ht="59.45" customHeight="1" thickTop="1" thickBot="1" x14ac:dyDescent="0.3">
      <c r="A10" s="29"/>
      <c r="B10" s="15" t="str">
        <f>IF($Q$7,IF($O$7,"DLLNX80K.C.IPS.x.36M247","DLLNX80K.C.IPS.x.12M247"),IF($O$7,"DLLNX80K.C.IPS.x.36M","DLLNX80K.C.IPS.x.z"))</f>
        <v>DLLNX80K.C.IPS.x.z</v>
      </c>
      <c r="C10" s="7" t="s">
        <v>174</v>
      </c>
      <c r="D10" s="5">
        <f>$P$7*5900</f>
        <v>5900</v>
      </c>
      <c r="E10" s="5">
        <f>$P$7*5800</f>
        <v>5800</v>
      </c>
      <c r="F10" s="53">
        <f>$P$7*5600</f>
        <v>5600</v>
      </c>
      <c r="G10" s="53">
        <f>$P$7*5300</f>
        <v>5300</v>
      </c>
      <c r="H10" s="53">
        <f>$P$7*5200</f>
        <v>5200</v>
      </c>
      <c r="I10" s="53">
        <f>$P$7*4600</f>
        <v>4600</v>
      </c>
      <c r="J10" s="53">
        <f>$P$7*3900</f>
        <v>3900</v>
      </c>
      <c r="K10" s="53">
        <f>$P$7*3600</f>
        <v>3600</v>
      </c>
      <c r="L10" s="54" t="s">
        <v>2</v>
      </c>
      <c r="M10" s="29"/>
      <c r="O10" s="65" t="b">
        <v>0</v>
      </c>
      <c r="P10" s="65">
        <f>IF(O10,1,0)</f>
        <v>0</v>
      </c>
      <c r="Q10" s="65" t="str">
        <f>IF(O10,"-IPS","")</f>
        <v/>
      </c>
      <c r="R10" s="65" t="str">
        <f>IF(O10,IF(O9,", СОВ**",", СОВ***"),"")</f>
        <v/>
      </c>
      <c r="S10" s="67" t="s">
        <v>119</v>
      </c>
      <c r="T10" s="65">
        <f>P10</f>
        <v>0</v>
      </c>
    </row>
    <row r="11" spans="1:29" ht="53.25" customHeight="1" thickTop="1" thickBot="1" x14ac:dyDescent="0.3">
      <c r="A11" s="29"/>
      <c r="B11" s="40" t="str">
        <f>IF(O7,IF(Q7,Q11&amp;".x.36M247",Q11&amp;".x.36M"),(IF(Q7,Q11&amp;".12M247",Q11&amp;".x.z.")))</f>
        <v>DLLNX80K.C.UADS-ITC.x.z.</v>
      </c>
      <c r="C11" s="41" t="str">
        <f>IF(O7,IF(Q7,S11&amp;"",S11&amp;""),(IF(Q7,S11&amp;"",S11&amp;"")))</f>
        <v>Dallas Lock Linux/Dallas Lock 8.0-K. (СЗИ НСД, СКН).
Право на использование***. Универсальная бессрочная лицензия.</v>
      </c>
      <c r="D11" s="47">
        <f>IF($O$9,IF($O$10,ROUND((D8+D10)*$O$11+D9,-2),D8+D9),IF($O$10,ROUND((D8+D10)*$O$11,-2),D8))</f>
        <v>13300</v>
      </c>
      <c r="E11" s="47">
        <f t="shared" ref="E11:K11" si="0">IF($O$9,IF($O$10,ROUND((E8+E10)*$O$11+E9,-2),E8+E9),IF($O$10,ROUND((E8+E10)*$O$11,-2),E8))</f>
        <v>12800</v>
      </c>
      <c r="F11" s="47">
        <f t="shared" si="0"/>
        <v>12200</v>
      </c>
      <c r="G11" s="47">
        <f t="shared" si="0"/>
        <v>11700</v>
      </c>
      <c r="H11" s="47">
        <f t="shared" si="0"/>
        <v>11100</v>
      </c>
      <c r="I11" s="47">
        <f t="shared" si="0"/>
        <v>10300</v>
      </c>
      <c r="J11" s="47">
        <f t="shared" si="0"/>
        <v>7800</v>
      </c>
      <c r="K11" s="47">
        <f t="shared" si="0"/>
        <v>7100</v>
      </c>
      <c r="L11" s="42" t="s">
        <v>2</v>
      </c>
      <c r="M11" s="29"/>
      <c r="O11">
        <v>0.95</v>
      </c>
      <c r="Q11" s="65" t="str">
        <f>"DLLNX80K.C.UADS-ITC"&amp;Q9&amp;Q10</f>
        <v>DLLNX80K.C.UADS-ITC</v>
      </c>
      <c r="R11" s="65" t="str">
        <f>"Dallas Lock Linux/Dallas Lock 8.0-K. (СЗИ НСД, СКН"&amp;R9&amp;R10&amp;")."</f>
        <v>Dallas Lock Linux/Dallas Lock 8.0-K. (СЗИ НСД, СКН).</v>
      </c>
      <c r="S11" s="67" t="str">
        <f>R11&amp;"
Право на использование***. Универсальная бессрочная лицензия."</f>
        <v>Dallas Lock Linux/Dallas Lock 8.0-K. (СЗИ НСД, СКН).
Право на использование***. Универсальная бессрочная лицензия.</v>
      </c>
    </row>
    <row r="12" spans="1:29" ht="41.25" customHeight="1" thickTop="1" thickBot="1" x14ac:dyDescent="0.3">
      <c r="A12" s="29"/>
      <c r="B12" s="14" t="str">
        <f>IF($Q$7,IF($O$7,"DLLNX.C.UADS-ITC.x.36M247","DLLNX.C.UADS-ITC.x.12M247"),IF($O$7,"DLLNX.C.UADS-ITC.x.36M","DLLNX.C.UADS-ITC.x.z"))</f>
        <v>DLLNX.C.UADS-ITC.x.z</v>
      </c>
      <c r="C12" s="7" t="s">
        <v>123</v>
      </c>
      <c r="D12" s="56">
        <f>$P$7*9000</f>
        <v>9000</v>
      </c>
      <c r="E12" s="56">
        <f>$P$7*8800</f>
        <v>8800</v>
      </c>
      <c r="F12" s="56">
        <f>$P$7*8600</f>
        <v>8600</v>
      </c>
      <c r="G12" s="56">
        <f>$P$7*7700</f>
        <v>7700</v>
      </c>
      <c r="H12" s="56">
        <f>$P$7*7600</f>
        <v>7600</v>
      </c>
      <c r="I12" s="56">
        <f>$P$7*6800</f>
        <v>6800</v>
      </c>
      <c r="J12" s="56">
        <f>$P$7*5100</f>
        <v>5100</v>
      </c>
      <c r="K12" s="56">
        <f>$P$7*5000</f>
        <v>5000</v>
      </c>
      <c r="L12" s="57" t="s">
        <v>2</v>
      </c>
      <c r="M12" s="29"/>
      <c r="P12">
        <v>1</v>
      </c>
      <c r="Q12" t="b">
        <v>0</v>
      </c>
    </row>
    <row r="13" spans="1:29" ht="41.25" customHeight="1" thickTop="1" thickBot="1" x14ac:dyDescent="0.3">
      <c r="A13" s="29"/>
      <c r="B13" s="28" t="str">
        <f>IF($Q$7,IF($O$7,"DLLNX.C.FW.x.36M247","DLLNX.C.FW.x.12M247"),IF($O$7,"DLLNX.C.FW.x.36M","DLLNX.C.FW.x.z"))</f>
        <v>DLLNX.C.FW.x.z</v>
      </c>
      <c r="C13" s="45" t="s">
        <v>122</v>
      </c>
      <c r="D13" s="55">
        <f>$P$7*2000</f>
        <v>2000</v>
      </c>
      <c r="E13" s="55">
        <f>$P$7*1900</f>
        <v>1900</v>
      </c>
      <c r="F13" s="55">
        <f>$P$7*1800</f>
        <v>1800</v>
      </c>
      <c r="G13" s="55">
        <f>$P$7*1700</f>
        <v>1700</v>
      </c>
      <c r="H13" s="55">
        <f>$P$7*1600</f>
        <v>1600</v>
      </c>
      <c r="I13" s="55">
        <f>$P$7*1400</f>
        <v>1400</v>
      </c>
      <c r="J13" s="55">
        <f>$P$7*1100</f>
        <v>1100</v>
      </c>
      <c r="K13" s="55">
        <f>$P$7*1000</f>
        <v>1000</v>
      </c>
      <c r="L13" s="55" t="s">
        <v>2</v>
      </c>
      <c r="M13" s="29"/>
      <c r="O13" s="65" t="b">
        <v>0</v>
      </c>
      <c r="P13" s="65">
        <f>IF(O13,1,0)</f>
        <v>0</v>
      </c>
      <c r="Q13" s="65" t="str">
        <f>IF(O13,"-FW","")</f>
        <v/>
      </c>
      <c r="R13" s="65" t="str">
        <f>IF(O13,", МЭ","")</f>
        <v/>
      </c>
      <c r="S13" s="65">
        <f>IF(O14,P13,P13)</f>
        <v>0</v>
      </c>
    </row>
    <row r="14" spans="1:29" ht="58.9" customHeight="1" thickTop="1" thickBot="1" x14ac:dyDescent="0.3">
      <c r="A14" s="29"/>
      <c r="B14" s="15" t="str">
        <f>IF($Q$7,IF($O$7,"DLLNX.C.IPS.x.36M247","DLLNX.C.IPS.x.12M247"),IF($O$7,"DLLNX.C.IPS.x.36M","DLLNX.C.IPS.x.z"))</f>
        <v>DLLNX.C.IPS.x.z</v>
      </c>
      <c r="C14" s="7" t="s">
        <v>175</v>
      </c>
      <c r="D14" s="56">
        <f>$P$7*5600</f>
        <v>5600</v>
      </c>
      <c r="E14" s="56">
        <f>$P$7*5400</f>
        <v>5400</v>
      </c>
      <c r="F14" s="56">
        <f>$P$7*5100</f>
        <v>5100</v>
      </c>
      <c r="G14" s="56">
        <f>$P$7*4800</f>
        <v>4800</v>
      </c>
      <c r="H14" s="56">
        <f>$P$7*4700</f>
        <v>4700</v>
      </c>
      <c r="I14" s="56">
        <f>$P$7*4200</f>
        <v>4200</v>
      </c>
      <c r="J14" s="56">
        <f>$P$7*3500</f>
        <v>3500</v>
      </c>
      <c r="K14" s="56">
        <f>$P$7*3200</f>
        <v>3200</v>
      </c>
      <c r="L14" s="57" t="s">
        <v>2</v>
      </c>
      <c r="M14" s="29"/>
      <c r="O14" s="65" t="b">
        <v>0</v>
      </c>
      <c r="P14" s="65">
        <f>IF(O14,1,0)</f>
        <v>0</v>
      </c>
      <c r="Q14" s="65" t="str">
        <f>IF(O14,IF(O13,"-IPS","-IPS"),"")</f>
        <v/>
      </c>
      <c r="R14" s="65" t="str">
        <f>IF(O14,IF(O13,", СОВ**",", СОВ**"),"")</f>
        <v/>
      </c>
      <c r="S14" s="65">
        <f>P14</f>
        <v>0</v>
      </c>
    </row>
    <row r="15" spans="1:29" ht="41.25" customHeight="1" thickTop="1" thickBot="1" x14ac:dyDescent="0.3">
      <c r="A15" s="29"/>
      <c r="B15" s="40" t="str">
        <f>IF(O7,IF(Q7,Q15&amp;".x.36M247",Q15&amp;".x.36M"),(IF(Q7,Q15&amp;".12M247",Q15&amp;".x.z.")))</f>
        <v>DLLNX.C.UADS-ITC.x.z.</v>
      </c>
      <c r="C15" s="41" t="str">
        <f>IF(O7,IF(Q7,S15&amp;"",S15&amp;""),(IF(Q7,S15&amp;"",S15&amp;"")))</f>
        <v>Dallas Lock Linux (СЗИ НСД, СКН).
Право на использование***. Бессрочная лицензия.</v>
      </c>
      <c r="D15" s="47">
        <f>IF($O$13,IF($O$14,ROUND((D12+D14)*$O$15+D13,-2),D12+D13),IF($O$14,ROUND((D12+D14)*$O$15,-2),D12))</f>
        <v>9000</v>
      </c>
      <c r="E15" s="47">
        <f t="shared" ref="E15:K15" si="1">IF($O$13,IF($O$14,ROUND((E12+E14)*$O$15+E13,-2),E12+E13),IF($O$14,ROUND((E12+E14)*$O$15,-2),E12))</f>
        <v>8800</v>
      </c>
      <c r="F15" s="47">
        <f t="shared" si="1"/>
        <v>8600</v>
      </c>
      <c r="G15" s="47">
        <f t="shared" si="1"/>
        <v>7700</v>
      </c>
      <c r="H15" s="47">
        <f t="shared" si="1"/>
        <v>7600</v>
      </c>
      <c r="I15" s="47">
        <f t="shared" si="1"/>
        <v>6800</v>
      </c>
      <c r="J15" s="47">
        <f t="shared" si="1"/>
        <v>5100</v>
      </c>
      <c r="K15" s="47">
        <f t="shared" si="1"/>
        <v>5000</v>
      </c>
      <c r="L15" s="42" t="s">
        <v>2</v>
      </c>
      <c r="M15" s="29"/>
      <c r="O15">
        <v>0.95</v>
      </c>
      <c r="Q15" s="65" t="str">
        <f>"DLLNX.C.UADS-ITC"&amp;Q13&amp;Q14</f>
        <v>DLLNX.C.UADS-ITC</v>
      </c>
      <c r="R15" s="65" t="str">
        <f>"Dallas Lock Linux (СЗИ НСД, СКН"&amp;R13&amp;R14&amp;")."</f>
        <v>Dallas Lock Linux (СЗИ НСД, СКН).</v>
      </c>
      <c r="S15" s="67" t="str">
        <f>R15&amp;"
Право на использование***. Бессрочная лицензия."</f>
        <v>Dallas Lock Linux (СЗИ НСД, СКН).
Право на использование***. Бессрочная лицензия.</v>
      </c>
    </row>
    <row r="16" spans="1:29" ht="6.75" customHeight="1" thickTop="1" x14ac:dyDescent="0.25">
      <c r="A16" s="29"/>
      <c r="B16" s="29"/>
      <c r="C16" s="29"/>
      <c r="D16" s="29"/>
      <c r="E16" s="29"/>
      <c r="F16" s="29"/>
      <c r="G16" s="29"/>
      <c r="H16" s="29"/>
      <c r="I16" s="29"/>
      <c r="J16" s="29"/>
      <c r="K16" s="29"/>
      <c r="L16" s="29"/>
      <c r="M16" s="29"/>
      <c r="Q16" t="s">
        <v>145</v>
      </c>
    </row>
    <row r="17" spans="1:17" ht="9.75" customHeight="1" x14ac:dyDescent="0.25">
      <c r="B17" s="13"/>
    </row>
    <row r="18" spans="1:17" ht="15.75" thickBot="1" x14ac:dyDescent="0.3">
      <c r="A18" s="18"/>
      <c r="B18" s="19" t="s">
        <v>148</v>
      </c>
      <c r="C18" s="18"/>
      <c r="D18" s="18"/>
      <c r="E18" s="18"/>
      <c r="F18" s="18"/>
      <c r="G18" s="18"/>
      <c r="H18" s="18"/>
      <c r="I18" s="18"/>
      <c r="J18" s="18"/>
      <c r="K18" s="18"/>
      <c r="L18" s="18"/>
      <c r="M18" s="18"/>
    </row>
    <row r="19" spans="1:17" ht="41.25" customHeight="1" thickTop="1" thickBot="1" x14ac:dyDescent="0.3">
      <c r="A19" s="18"/>
      <c r="B19" s="14" t="s">
        <v>8</v>
      </c>
      <c r="C19" s="7" t="s">
        <v>124</v>
      </c>
      <c r="D19" s="164">
        <v>1000</v>
      </c>
      <c r="E19" s="165"/>
      <c r="F19" s="165"/>
      <c r="G19" s="165"/>
      <c r="H19" s="165"/>
      <c r="I19" s="165"/>
      <c r="J19" s="165"/>
      <c r="K19" s="165"/>
      <c r="L19" s="166"/>
      <c r="M19" s="18"/>
    </row>
    <row r="20" spans="1:17" ht="6.75" customHeight="1" thickTop="1" x14ac:dyDescent="0.25">
      <c r="A20" s="18"/>
      <c r="B20" s="20"/>
      <c r="C20" s="18"/>
      <c r="D20" s="18"/>
      <c r="E20" s="18"/>
      <c r="F20" s="18"/>
      <c r="G20" s="18"/>
      <c r="H20" s="18"/>
      <c r="I20" s="18"/>
      <c r="J20" s="18"/>
      <c r="K20" s="18"/>
      <c r="L20" s="18"/>
      <c r="M20" s="18"/>
    </row>
    <row r="21" spans="1:17" ht="9.75" customHeight="1" x14ac:dyDescent="0.25">
      <c r="B21" s="13"/>
    </row>
    <row r="22" spans="1:17" ht="15.75" thickBot="1" x14ac:dyDescent="0.3">
      <c r="A22" s="18"/>
      <c r="B22" s="19" t="s">
        <v>101</v>
      </c>
      <c r="C22" s="18"/>
      <c r="D22" s="29" t="s">
        <v>118</v>
      </c>
      <c r="E22" s="29"/>
      <c r="F22" s="18"/>
      <c r="G22" s="18"/>
      <c r="H22" s="18"/>
      <c r="I22" s="18"/>
      <c r="J22" s="18"/>
      <c r="K22" s="29" t="s">
        <v>73</v>
      </c>
      <c r="L22" s="29"/>
      <c r="M22" s="18"/>
      <c r="O22" s="65" t="b">
        <v>0</v>
      </c>
      <c r="P22" s="66">
        <f>IF(O22,IF(Q22,1.6,1.35),IF(Q22,1.1,1))</f>
        <v>1</v>
      </c>
      <c r="Q22" s="65" t="b">
        <v>0</v>
      </c>
    </row>
    <row r="23" spans="1:17" ht="41.25" customHeight="1" thickTop="1" thickBot="1" x14ac:dyDescent="0.3">
      <c r="A23" s="18"/>
      <c r="B23" s="32" t="str">
        <f>IF($Q$22,IF($O$22,"DLMC.S.N3.x.36M247","DLMC.S.N3.x.12M247"),IF($O$22,"DLMC.S.N3.x.36M","DLMC.S.N3.x.z"))</f>
        <v>DLMC.S.N3.x.z</v>
      </c>
      <c r="C23" s="45" t="s">
        <v>117</v>
      </c>
      <c r="D23" s="10">
        <f>$P$22*10000</f>
        <v>10000</v>
      </c>
      <c r="E23" s="10">
        <f>$P$22*25000</f>
        <v>25000</v>
      </c>
      <c r="F23" s="10">
        <f>$P$22*50000</f>
        <v>50000</v>
      </c>
      <c r="G23" s="10">
        <f>$P$22*112000</f>
        <v>112000</v>
      </c>
      <c r="H23" s="10">
        <f>$P$22*220000</f>
        <v>220000</v>
      </c>
      <c r="I23" s="10">
        <f>$P$22*320000</f>
        <v>320000</v>
      </c>
      <c r="J23" s="10">
        <f>$P$22*420000</f>
        <v>420000</v>
      </c>
      <c r="K23" s="10">
        <f>$P$22*495000</f>
        <v>495000</v>
      </c>
      <c r="L23" s="10">
        <f>$P$22*920000</f>
        <v>920000</v>
      </c>
      <c r="M23" s="18"/>
    </row>
    <row r="24" spans="1:17" ht="25.15" customHeight="1" thickTop="1" x14ac:dyDescent="0.25">
      <c r="A24" s="18"/>
      <c r="B24" s="19"/>
      <c r="C24" s="18"/>
      <c r="D24" s="18"/>
      <c r="E24" s="18"/>
      <c r="F24" s="18"/>
      <c r="G24" s="18"/>
      <c r="H24" s="18"/>
      <c r="I24" s="18"/>
      <c r="J24" s="18"/>
      <c r="K24" s="18"/>
      <c r="L24" s="18"/>
      <c r="M24" s="18"/>
    </row>
    <row r="25" spans="1:17" ht="64.900000000000006" customHeight="1" x14ac:dyDescent="0.25">
      <c r="B25" s="13"/>
    </row>
    <row r="26" spans="1:17" x14ac:dyDescent="0.25">
      <c r="A26" s="16"/>
      <c r="B26" s="17" t="s">
        <v>33</v>
      </c>
      <c r="C26" s="16"/>
      <c r="D26" s="16"/>
      <c r="E26" s="16"/>
      <c r="F26" s="16"/>
      <c r="G26" s="16"/>
      <c r="H26" s="16"/>
      <c r="I26" s="16"/>
      <c r="J26" s="16"/>
      <c r="K26" s="16"/>
      <c r="L26" s="16"/>
      <c r="M26" s="16"/>
    </row>
    <row r="27" spans="1:17" ht="41.25" customHeight="1" x14ac:dyDescent="0.25">
      <c r="M27" s="4"/>
    </row>
    <row r="28" spans="1:17" ht="41.25" customHeight="1" x14ac:dyDescent="0.25">
      <c r="M28" s="4"/>
    </row>
    <row r="29" spans="1:17" ht="41.25" customHeight="1" x14ac:dyDescent="0.25">
      <c r="M29" s="4"/>
    </row>
    <row r="30" spans="1:17" ht="41.25" customHeight="1" x14ac:dyDescent="0.25">
      <c r="M30" s="4"/>
    </row>
    <row r="31" spans="1:17" ht="41.25" customHeight="1" x14ac:dyDescent="0.25">
      <c r="M31" s="4"/>
    </row>
    <row r="32" spans="1:17" ht="41.25" customHeight="1" x14ac:dyDescent="0.25">
      <c r="M32" s="4"/>
    </row>
    <row r="33" spans="13:13" ht="41.25" customHeight="1" x14ac:dyDescent="0.25">
      <c r="M33" s="4"/>
    </row>
    <row r="34" spans="13:13" ht="41.25" customHeight="1" x14ac:dyDescent="0.25">
      <c r="M34" s="4"/>
    </row>
    <row r="35" spans="13:13" ht="41.25" customHeight="1" x14ac:dyDescent="0.25">
      <c r="M35" s="4"/>
    </row>
    <row r="36" spans="13:13" ht="41.25" customHeight="1" x14ac:dyDescent="0.25"/>
    <row r="37" spans="13:13" ht="41.25" customHeight="1" x14ac:dyDescent="0.25"/>
    <row r="38" spans="13:13" ht="41.25" customHeight="1" x14ac:dyDescent="0.25"/>
  </sheetData>
  <mergeCells count="4">
    <mergeCell ref="B4:B5"/>
    <mergeCell ref="C4:C5"/>
    <mergeCell ref="D4:L4"/>
    <mergeCell ref="D19:L19"/>
  </mergeCells>
  <conditionalFormatting sqref="A8:A16">
    <cfRule type="expression" dxfId="37" priority="1">
      <formula>$P$7&lt;&gt;1</formula>
    </cfRule>
  </conditionalFormatting>
  <conditionalFormatting sqref="A7:M7">
    <cfRule type="expression" dxfId="36" priority="30">
      <formula>$P$7&lt;&gt;1</formula>
    </cfRule>
  </conditionalFormatting>
  <conditionalFormatting sqref="A22:M22 A23 M23 A24:M24">
    <cfRule type="expression" dxfId="35" priority="42">
      <formula>$P$22&gt;1</formula>
    </cfRule>
  </conditionalFormatting>
  <conditionalFormatting sqref="B16:L16">
    <cfRule type="expression" dxfId="34" priority="10">
      <formula>$P$7&lt;&gt;1</formula>
    </cfRule>
  </conditionalFormatting>
  <conditionalFormatting sqref="M8:M16">
    <cfRule type="expression" dxfId="33" priority="21">
      <formula>$P$7&lt;&gt;1</formula>
    </cfRule>
  </conditionalFormatting>
  <pageMargins left="0.59055118110236227" right="0.39370078740157483" top="0.23622047244094491" bottom="0.23622047244094491" header="0.31496062992125984" footer="0.31496062992125984"/>
  <pageSetup paperSize="9" scale="4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9939" r:id="rId4" name="Check Box 3">
              <controlPr defaultSize="0" autoFill="0" autoLine="0" autoPict="0">
                <anchor moveWithCells="1">
                  <from>
                    <xdr:col>2</xdr:col>
                    <xdr:colOff>3743325</xdr:colOff>
                    <xdr:row>20</xdr:row>
                    <xdr:rowOff>104775</xdr:rowOff>
                  </from>
                  <to>
                    <xdr:col>2</xdr:col>
                    <xdr:colOff>3924300</xdr:colOff>
                    <xdr:row>21</xdr:row>
                    <xdr:rowOff>180975</xdr:rowOff>
                  </to>
                </anchor>
              </controlPr>
            </control>
          </mc:Choice>
        </mc:AlternateContent>
        <mc:AlternateContent xmlns:mc="http://schemas.openxmlformats.org/markup-compatibility/2006">
          <mc:Choice Requires="x14">
            <control shapeId="39940" r:id="rId5" name="Check Box 4">
              <controlPr defaultSize="0" autoFill="0" autoLine="0" autoPict="0">
                <anchor moveWithCells="1">
                  <from>
                    <xdr:col>9</xdr:col>
                    <xdr:colOff>666750</xdr:colOff>
                    <xdr:row>20</xdr:row>
                    <xdr:rowOff>104775</xdr:rowOff>
                  </from>
                  <to>
                    <xdr:col>10</xdr:col>
                    <xdr:colOff>19050</xdr:colOff>
                    <xdr:row>21</xdr:row>
                    <xdr:rowOff>180975</xdr:rowOff>
                  </to>
                </anchor>
              </controlPr>
            </control>
          </mc:Choice>
        </mc:AlternateContent>
        <mc:AlternateContent xmlns:mc="http://schemas.openxmlformats.org/markup-compatibility/2006">
          <mc:Choice Requires="x14">
            <control shapeId="39942" r:id="rId6" name="Check Box 6">
              <controlPr defaultSize="0" autoFill="0" autoLine="0" autoPict="0">
                <anchor moveWithCells="1">
                  <from>
                    <xdr:col>1</xdr:col>
                    <xdr:colOff>85725</xdr:colOff>
                    <xdr:row>12</xdr:row>
                    <xdr:rowOff>47625</xdr:rowOff>
                  </from>
                  <to>
                    <xdr:col>1</xdr:col>
                    <xdr:colOff>276225</xdr:colOff>
                    <xdr:row>12</xdr:row>
                    <xdr:rowOff>438150</xdr:rowOff>
                  </to>
                </anchor>
              </controlPr>
            </control>
          </mc:Choice>
        </mc:AlternateContent>
        <mc:AlternateContent xmlns:mc="http://schemas.openxmlformats.org/markup-compatibility/2006">
          <mc:Choice Requires="x14">
            <control shapeId="39947" r:id="rId7" name="Check Box 11">
              <controlPr defaultSize="0" autoFill="0" autoLine="0" autoPict="0">
                <anchor moveWithCells="1">
                  <from>
                    <xdr:col>1</xdr:col>
                    <xdr:colOff>85725</xdr:colOff>
                    <xdr:row>13</xdr:row>
                    <xdr:rowOff>180975</xdr:rowOff>
                  </from>
                  <to>
                    <xdr:col>1</xdr:col>
                    <xdr:colOff>276225</xdr:colOff>
                    <xdr:row>13</xdr:row>
                    <xdr:rowOff>561975</xdr:rowOff>
                  </to>
                </anchor>
              </controlPr>
            </control>
          </mc:Choice>
        </mc:AlternateContent>
        <mc:AlternateContent xmlns:mc="http://schemas.openxmlformats.org/markup-compatibility/2006">
          <mc:Choice Requires="x14">
            <control shapeId="39951" r:id="rId8" name="Check Box 15">
              <controlPr defaultSize="0" autoFill="0" autoLine="0" autoPict="0">
                <anchor moveWithCells="1">
                  <from>
                    <xdr:col>1</xdr:col>
                    <xdr:colOff>95250</xdr:colOff>
                    <xdr:row>8</xdr:row>
                    <xdr:rowOff>57150</xdr:rowOff>
                  </from>
                  <to>
                    <xdr:col>1</xdr:col>
                    <xdr:colOff>285750</xdr:colOff>
                    <xdr:row>8</xdr:row>
                    <xdr:rowOff>438150</xdr:rowOff>
                  </to>
                </anchor>
              </controlPr>
            </control>
          </mc:Choice>
        </mc:AlternateContent>
        <mc:AlternateContent xmlns:mc="http://schemas.openxmlformats.org/markup-compatibility/2006">
          <mc:Choice Requires="x14">
            <control shapeId="39952" r:id="rId9" name="Check Box 16">
              <controlPr defaultSize="0" autoFill="0" autoLine="0" autoPict="0">
                <anchor moveWithCells="1">
                  <from>
                    <xdr:col>1</xdr:col>
                    <xdr:colOff>104775</xdr:colOff>
                    <xdr:row>9</xdr:row>
                    <xdr:rowOff>161925</xdr:rowOff>
                  </from>
                  <to>
                    <xdr:col>1</xdr:col>
                    <xdr:colOff>295275</xdr:colOff>
                    <xdr:row>9</xdr:row>
                    <xdr:rowOff>542925</xdr:rowOff>
                  </to>
                </anchor>
              </controlPr>
            </control>
          </mc:Choice>
        </mc:AlternateContent>
        <mc:AlternateContent xmlns:mc="http://schemas.openxmlformats.org/markup-compatibility/2006">
          <mc:Choice Requires="x14">
            <control shapeId="39956" r:id="rId10" name="Check Box 20">
              <controlPr defaultSize="0" autoFill="0" autoLine="0" autoPict="0">
                <anchor moveWithCells="1">
                  <from>
                    <xdr:col>2</xdr:col>
                    <xdr:colOff>3762375</xdr:colOff>
                    <xdr:row>5</xdr:row>
                    <xdr:rowOff>76200</xdr:rowOff>
                  </from>
                  <to>
                    <xdr:col>2</xdr:col>
                    <xdr:colOff>3914775</xdr:colOff>
                    <xdr:row>7</xdr:row>
                    <xdr:rowOff>38100</xdr:rowOff>
                  </to>
                </anchor>
              </controlPr>
            </control>
          </mc:Choice>
        </mc:AlternateContent>
        <mc:AlternateContent xmlns:mc="http://schemas.openxmlformats.org/markup-compatibility/2006">
          <mc:Choice Requires="x14">
            <control shapeId="39957" r:id="rId11" name="Check Box 21">
              <controlPr defaultSize="0" autoFill="0" autoLine="0" autoPict="0">
                <anchor moveWithCells="1">
                  <from>
                    <xdr:col>9</xdr:col>
                    <xdr:colOff>666750</xdr:colOff>
                    <xdr:row>5</xdr:row>
                    <xdr:rowOff>95250</xdr:rowOff>
                  </from>
                  <to>
                    <xdr:col>10</xdr:col>
                    <xdr:colOff>66675</xdr:colOff>
                    <xdr:row>7</xdr:row>
                    <xdr:rowOff>19050</xdr:rowOff>
                  </to>
                </anchor>
              </controlPr>
            </control>
          </mc:Choice>
        </mc:AlternateContent>
        <mc:AlternateContent xmlns:mc="http://schemas.openxmlformats.org/markup-compatibility/2006">
          <mc:Choice Requires="x14">
            <control shapeId="39958" r:id="rId12" name="Check Box 22">
              <controlPr defaultSize="0" autoFill="0" autoLine="0" autoPict="0">
                <anchor moveWithCells="1">
                  <from>
                    <xdr:col>1</xdr:col>
                    <xdr:colOff>85725</xdr:colOff>
                    <xdr:row>12</xdr:row>
                    <xdr:rowOff>47625</xdr:rowOff>
                  </from>
                  <to>
                    <xdr:col>1</xdr:col>
                    <xdr:colOff>276225</xdr:colOff>
                    <xdr:row>12</xdr:row>
                    <xdr:rowOff>438150</xdr:rowOff>
                  </to>
                </anchor>
              </controlPr>
            </control>
          </mc:Choice>
        </mc:AlternateContent>
        <mc:AlternateContent xmlns:mc="http://schemas.openxmlformats.org/markup-compatibility/2006">
          <mc:Choice Requires="x14">
            <control shapeId="39959" r:id="rId13" name="Check Box 23">
              <controlPr defaultSize="0" autoFill="0" autoLine="0" autoPict="0">
                <anchor moveWithCells="1">
                  <from>
                    <xdr:col>1</xdr:col>
                    <xdr:colOff>85725</xdr:colOff>
                    <xdr:row>13</xdr:row>
                    <xdr:rowOff>180975</xdr:rowOff>
                  </from>
                  <to>
                    <xdr:col>1</xdr:col>
                    <xdr:colOff>276225</xdr:colOff>
                    <xdr:row>13</xdr:row>
                    <xdr:rowOff>561975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U42"/>
  <sheetViews>
    <sheetView showGridLines="0" showRowColHeaders="0" topLeftCell="A4" zoomScaleNormal="100" workbookViewId="0">
      <selection activeCell="F67" sqref="F67"/>
    </sheetView>
  </sheetViews>
  <sheetFormatPr defaultColWidth="9.140625" defaultRowHeight="15" x14ac:dyDescent="0.25"/>
  <cols>
    <col min="1" max="1" width="1.28515625" customWidth="1"/>
    <col min="2" max="2" width="37.28515625" customWidth="1"/>
    <col min="3" max="3" width="58.85546875" customWidth="1"/>
    <col min="4" max="4" width="11.140625" customWidth="1"/>
    <col min="5" max="5" width="10.28515625" customWidth="1"/>
    <col min="6" max="6" width="11.85546875" customWidth="1"/>
    <col min="7" max="7" width="10.42578125" customWidth="1"/>
    <col min="8" max="8" width="11.7109375" customWidth="1"/>
    <col min="9" max="9" width="11.28515625" customWidth="1"/>
    <col min="10" max="10" width="11.7109375" customWidth="1"/>
    <col min="11" max="11" width="9.140625" customWidth="1"/>
    <col min="12" max="12" width="12.7109375" customWidth="1"/>
    <col min="13" max="13" width="1.5703125" customWidth="1"/>
    <col min="14" max="14" width="5" customWidth="1"/>
    <col min="15" max="15" width="13.7109375" hidden="1" customWidth="1"/>
    <col min="16" max="16" width="4.5703125" hidden="1" customWidth="1"/>
    <col min="17" max="17" width="9.42578125" hidden="1" customWidth="1"/>
    <col min="18" max="18" width="15.85546875" hidden="1" customWidth="1"/>
    <col min="19" max="19" width="15.140625" hidden="1" customWidth="1"/>
    <col min="20" max="20" width="15.28515625" hidden="1" customWidth="1"/>
    <col min="21" max="21" width="4.28515625" hidden="1" customWidth="1"/>
  </cols>
  <sheetData>
    <row r="2" spans="1:19" ht="87" customHeight="1" x14ac:dyDescent="0.25"/>
    <row r="3" spans="1:19" ht="29.25" thickBot="1" x14ac:dyDescent="0.5">
      <c r="B3" s="34" t="s">
        <v>195</v>
      </c>
      <c r="C3" s="34"/>
      <c r="D3" s="34"/>
      <c r="E3" s="73"/>
      <c r="F3" s="34"/>
      <c r="G3" s="34"/>
      <c r="H3" s="34"/>
      <c r="I3" s="34"/>
      <c r="J3" s="34"/>
      <c r="K3" s="34"/>
      <c r="L3" s="34"/>
    </row>
    <row r="4" spans="1:19" ht="26.25" customHeight="1" thickTop="1" thickBot="1" x14ac:dyDescent="0.3">
      <c r="B4" s="150" t="s">
        <v>3</v>
      </c>
      <c r="C4" s="152" t="s">
        <v>0</v>
      </c>
      <c r="D4" s="154" t="s">
        <v>7</v>
      </c>
      <c r="E4" s="154"/>
      <c r="F4" s="154"/>
      <c r="G4" s="154"/>
      <c r="H4" s="154"/>
      <c r="I4" s="154"/>
      <c r="J4" s="154"/>
      <c r="K4" s="154"/>
      <c r="L4" s="155"/>
      <c r="R4">
        <v>1</v>
      </c>
    </row>
    <row r="5" spans="1:19" ht="21.75" customHeight="1" thickTop="1" thickBot="1" x14ac:dyDescent="0.3">
      <c r="B5" s="151"/>
      <c r="C5" s="153"/>
      <c r="D5" s="1" t="s">
        <v>1</v>
      </c>
      <c r="E5" s="1" t="s">
        <v>27</v>
      </c>
      <c r="F5" s="2" t="s">
        <v>28</v>
      </c>
      <c r="G5" s="1" t="s">
        <v>29</v>
      </c>
      <c r="H5" s="2" t="s">
        <v>30</v>
      </c>
      <c r="I5" s="1" t="s">
        <v>31</v>
      </c>
      <c r="J5" s="1" t="s">
        <v>32</v>
      </c>
      <c r="K5" s="1" t="s">
        <v>26</v>
      </c>
      <c r="L5" s="3" t="s">
        <v>25</v>
      </c>
      <c r="P5">
        <v>1.1000000000000001</v>
      </c>
    </row>
    <row r="6" spans="1:19" ht="9.75" customHeight="1" thickTop="1" x14ac:dyDescent="0.25">
      <c r="B6" s="13"/>
      <c r="O6" t="str">
        <f>IF(O7," Гарантийное сопровождение на 3 года."," Годовое гарантийное сопровождение.")</f>
        <v xml:space="preserve"> Годовое гарантийное сопровождение.</v>
      </c>
      <c r="Q6" t="str">
        <f>IF(Q7," Техподдержка 24/7.","")</f>
        <v/>
      </c>
    </row>
    <row r="7" spans="1:19" ht="15.75" thickBot="1" x14ac:dyDescent="0.3">
      <c r="A7" s="18"/>
      <c r="B7" s="19" t="s">
        <v>199</v>
      </c>
      <c r="C7" s="18"/>
      <c r="D7" s="29" t="s">
        <v>118</v>
      </c>
      <c r="E7" s="29"/>
      <c r="F7" s="18"/>
      <c r="G7" s="18"/>
      <c r="H7" s="18"/>
      <c r="I7" s="18"/>
      <c r="J7" s="18"/>
      <c r="K7" s="29" t="s">
        <v>73</v>
      </c>
      <c r="L7" s="29"/>
      <c r="M7" s="18"/>
      <c r="O7" t="b">
        <v>0</v>
      </c>
      <c r="P7" s="36">
        <f>IF(O7,IF(Q7,1.6,1.35),IF(Q7,1.1,1))</f>
        <v>1</v>
      </c>
      <c r="Q7" t="b">
        <v>0</v>
      </c>
    </row>
    <row r="8" spans="1:19" ht="41.25" customHeight="1" thickTop="1" thickBot="1" x14ac:dyDescent="0.3">
      <c r="A8" s="29"/>
      <c r="B8" s="14" t="str">
        <f>IF($Q$7,IF($O$7,"DLLNX.CB.ITC-FW-IPS.ASTR.x.36M247","DLLNX.CB.ITC-FW-IPS.ASTR.x.12M247"),IF($O$7,"DLLNX.CB.ITC-FW-IPS.ASTR.x.36M","DLLNX.CB.ITC-FW-IPS.ASTR.x.z"))</f>
        <v>DLLNX.CB.ITC-FW-IPS.ASTR.x.z</v>
      </c>
      <c r="C8" s="7" t="str">
        <f>"Dallas Lock Linux for Astra. Модули (СКН, МЭ, СОВ**).
Право на использование*** Бессрочная лицензия."&amp;O6&amp;Q6</f>
        <v>Dallas Lock Linux for Astra. Модули (СКН, МЭ, СОВ**).
Право на использование*** Бессрочная лицензия. Годовое гарантийное сопровождение.</v>
      </c>
      <c r="D8" s="114">
        <f>$P$7*8400</f>
        <v>8400</v>
      </c>
      <c r="E8" s="114">
        <f>$P$7*8000</f>
        <v>8000</v>
      </c>
      <c r="F8" s="114">
        <f>$P$7*7500</f>
        <v>7500</v>
      </c>
      <c r="G8" s="114">
        <f>$P$7*7100</f>
        <v>7100</v>
      </c>
      <c r="H8" s="114">
        <f>$P$7*6700</f>
        <v>6700</v>
      </c>
      <c r="I8" s="114">
        <f>$P$7*6300</f>
        <v>6300</v>
      </c>
      <c r="J8" s="114">
        <f>$P$7*5200</f>
        <v>5200</v>
      </c>
      <c r="K8" s="114">
        <f>$P$7*5100</f>
        <v>5100</v>
      </c>
      <c r="L8" s="112" t="s">
        <v>2</v>
      </c>
      <c r="M8" s="29"/>
    </row>
    <row r="9" spans="1:19" ht="12.75" customHeight="1" thickTop="1" x14ac:dyDescent="0.25">
      <c r="A9" s="29"/>
      <c r="B9" s="29"/>
      <c r="C9" s="29"/>
      <c r="D9" s="29"/>
      <c r="E9" s="29"/>
      <c r="F9" s="29"/>
      <c r="G9" s="29"/>
      <c r="H9" s="29"/>
      <c r="I9" s="29"/>
      <c r="J9" s="29"/>
      <c r="K9" s="29"/>
      <c r="L9" s="29"/>
      <c r="M9" s="29"/>
    </row>
    <row r="10" spans="1:19" x14ac:dyDescent="0.25">
      <c r="O10" t="str">
        <f>IF(O11," Гарантийное сопровождение на 3 года."," Годовое гарантийное сопровождение.")</f>
        <v xml:space="preserve"> Годовое гарантийное сопровождение.</v>
      </c>
      <c r="Q10" t="str">
        <f>IF(Q11," Техподдержка 24/7.","")</f>
        <v/>
      </c>
      <c r="R10" t="str">
        <f>IF(Q11," Техподдержка 24/7.","")</f>
        <v/>
      </c>
    </row>
    <row r="11" spans="1:19" ht="15.75" thickBot="1" x14ac:dyDescent="0.3">
      <c r="A11" s="18"/>
      <c r="B11" s="19" t="s">
        <v>198</v>
      </c>
      <c r="C11" s="18"/>
      <c r="D11" s="29" t="s">
        <v>118</v>
      </c>
      <c r="E11" s="29"/>
      <c r="F11" s="18"/>
      <c r="G11" s="18"/>
      <c r="H11" s="18"/>
      <c r="I11" s="18"/>
      <c r="J11" s="18"/>
      <c r="K11" s="29" t="s">
        <v>73</v>
      </c>
      <c r="L11" s="29"/>
      <c r="M11" s="18"/>
      <c r="O11" t="b">
        <v>0</v>
      </c>
      <c r="P11" s="36">
        <f>IF(O11,IF(Q11,1.6,1.35),IF(Q11,1.1,1))</f>
        <v>1</v>
      </c>
      <c r="Q11" t="b">
        <v>0</v>
      </c>
    </row>
    <row r="12" spans="1:19" ht="41.25" customHeight="1" thickTop="1" thickBot="1" x14ac:dyDescent="0.3">
      <c r="A12" s="29"/>
      <c r="B12" s="28" t="str">
        <f>IF($Q$11,IF($O$11,"DLLNX.CB.ITC.x.36M247","DLLNX.CB.ITC.ASTR.x.12M247"),IF($O$11,"DLLNX.CB.ITC.ASTR.x.36M","DLLNX.CB.ITC.ASTR.x.z"))</f>
        <v>DLLNX.CB.ITC.ASTR.x.z</v>
      </c>
      <c r="C12" s="45" t="str">
        <f>"Dallas Lock Linux for Astra. Модуль «Средство контроля машинных носителей». Право на использование*** (CКН). Бессрочная лицензия."&amp;O10&amp;Q10</f>
        <v>Dallas Lock Linux for Astra. Модуль «Средство контроля машинных носителей». Право на использование*** (CКН). Бессрочная лицензия. Годовое гарантийное сопровождение.</v>
      </c>
      <c r="D12" s="115">
        <f>$P$11*1700</f>
        <v>1700</v>
      </c>
      <c r="E12" s="115">
        <f>$P$11*1650</f>
        <v>1650</v>
      </c>
      <c r="F12" s="115">
        <f>$P$11*1580</f>
        <v>1580</v>
      </c>
      <c r="G12" s="115">
        <f>$P$11*1540</f>
        <v>1540</v>
      </c>
      <c r="H12" s="115">
        <f>$P$11*1520</f>
        <v>1520</v>
      </c>
      <c r="I12" s="115">
        <f>$P$11*1400</f>
        <v>1400</v>
      </c>
      <c r="J12" s="115">
        <f>$P$11*1270</f>
        <v>1270</v>
      </c>
      <c r="K12" s="115">
        <f>$P$11*1000</f>
        <v>1000</v>
      </c>
      <c r="L12" s="113" t="s">
        <v>2</v>
      </c>
      <c r="M12" s="29"/>
      <c r="O12" s="65" t="b">
        <v>0</v>
      </c>
      <c r="P12" s="65">
        <f>IF(O12,$R$4,0)</f>
        <v>0</v>
      </c>
      <c r="Q12" s="65" t="str">
        <f>IF(O12,".ITC","")</f>
        <v/>
      </c>
      <c r="R12" s="67" t="str">
        <f>IF(O12,"СКН","")</f>
        <v/>
      </c>
      <c r="S12" s="65">
        <f>IF(O12,P12,P12)</f>
        <v>0</v>
      </c>
    </row>
    <row r="13" spans="1:19" ht="41.25" customHeight="1" thickTop="1" thickBot="1" x14ac:dyDescent="0.3">
      <c r="A13" s="29"/>
      <c r="B13" s="15" t="str">
        <f>IF($Q$11,IF($O$11,"DLLNX.CB.FW.ASTR.x.36M247","DLLNX.CB.FW.ASTR.x.12M247"),IF($O$11,"DLLNX.CB.FW.ASTR.x.36M","DLLNX.CB.FW.ASTR.x.z"))</f>
        <v>DLLNX.CB.FW.ASTR.x.z</v>
      </c>
      <c r="C13" s="7" t="str">
        <f>"Dallas Lock Linux for Astra. Модуль «Межсетевой экран».
Право на использование*** (МЭ). Бессрочная лицензия."&amp;O10&amp;Q10</f>
        <v>Dallas Lock Linux for Astra. Модуль «Межсетевой экран».
Право на использование*** (МЭ). Бессрочная лицензия. Годовое гарантийное сопровождение.</v>
      </c>
      <c r="D13" s="56">
        <f>$P$11*2000</f>
        <v>2000</v>
      </c>
      <c r="E13" s="56">
        <f>$P$11*1900</f>
        <v>1900</v>
      </c>
      <c r="F13" s="56">
        <f>$P$11*1800</f>
        <v>1800</v>
      </c>
      <c r="G13" s="56">
        <f>$P$11*1700</f>
        <v>1700</v>
      </c>
      <c r="H13" s="56">
        <f>$P$11*1600</f>
        <v>1600</v>
      </c>
      <c r="I13" s="56">
        <f>$P$11*1400</f>
        <v>1400</v>
      </c>
      <c r="J13" s="56">
        <f>$P$11*1100</f>
        <v>1100</v>
      </c>
      <c r="K13" s="56">
        <f>$P$11*1000</f>
        <v>1000</v>
      </c>
      <c r="L13" s="56" t="s">
        <v>2</v>
      </c>
      <c r="M13" s="29"/>
      <c r="O13" s="65" t="b">
        <v>0</v>
      </c>
      <c r="P13" s="65">
        <f t="shared" ref="P13:P14" si="0">IF(O13,$R$4,0)</f>
        <v>0</v>
      </c>
      <c r="Q13" s="65" t="str">
        <f>IF(O13,IF(O12,"-FW",".FW"),"")</f>
        <v/>
      </c>
      <c r="R13" s="67" t="str">
        <f>IF(O13,IF(O12,", МЭ","МЭ"),"")</f>
        <v/>
      </c>
      <c r="S13" s="65">
        <f>IF(O14,P13,P13)</f>
        <v>0</v>
      </c>
    </row>
    <row r="14" spans="1:19" ht="63.6" customHeight="1" thickTop="1" thickBot="1" x14ac:dyDescent="0.3">
      <c r="A14" s="29"/>
      <c r="B14" s="92" t="str">
        <f>IF($Q$11,IF($O$11,"DLLNX.CB.IPS.ASTR.x.36M247","DLLNX.CB.IPS.ASTR.x.12M247"),IF($O$11,"DLLNX.CB.IPS.ASTR.x.36M","DLLNX.CB.IPS.ASTR.x.z"))</f>
        <v>DLLNX.CB.IPS.ASTR.x.z</v>
      </c>
      <c r="C14" s="45" t="str">
        <f>"Dallas Lock Linux for Astra. Модуль «Система обнаружения вторжений». Расширен модулем «Система обнаружения и реагирования».
Право на использование*** (СОВ**). Бессрочная лицензия."&amp;O10&amp;Q10</f>
        <v>Dallas Lock Linux for Astra. Модуль «Система обнаружения вторжений». Расширен модулем «Система обнаружения и реагирования».
Право на использование*** (СОВ**). Бессрочная лицензия. Годовое гарантийное сопровождение.</v>
      </c>
      <c r="D14" s="55">
        <f>$P$11*5600</f>
        <v>5600</v>
      </c>
      <c r="E14" s="55">
        <f>$P$11*5400</f>
        <v>5400</v>
      </c>
      <c r="F14" s="55">
        <f>$P$11*5100</f>
        <v>5100</v>
      </c>
      <c r="G14" s="55">
        <f>$P$11*4800</f>
        <v>4800</v>
      </c>
      <c r="H14" s="55">
        <f>$P$11*4700</f>
        <v>4700</v>
      </c>
      <c r="I14" s="55">
        <f>$P$11*4200</f>
        <v>4200</v>
      </c>
      <c r="J14" s="55">
        <f>$P$11*3500</f>
        <v>3500</v>
      </c>
      <c r="K14" s="55">
        <f>$P$11*2900</f>
        <v>2900</v>
      </c>
      <c r="L14" s="91" t="s">
        <v>2</v>
      </c>
      <c r="M14" s="29"/>
      <c r="O14" s="65" t="b">
        <v>0</v>
      </c>
      <c r="P14" s="65">
        <f t="shared" si="0"/>
        <v>0</v>
      </c>
      <c r="Q14" s="65" t="str">
        <f>IF(O14,IF(CONCATENATE(Q12,Q13)="",".IPS","-IPS"),"")</f>
        <v/>
      </c>
      <c r="R14" s="67" t="str">
        <f>IF(O14,IF(CONCATENATE(Q12,Q13)="","СОВ**",", СОВ**"),"")</f>
        <v/>
      </c>
      <c r="S14" s="65">
        <f>P14</f>
        <v>0</v>
      </c>
    </row>
    <row r="15" spans="1:19" ht="61.5" customHeight="1" thickTop="1" thickBot="1" x14ac:dyDescent="0.3">
      <c r="A15" s="29"/>
      <c r="B15" s="40" t="str">
        <f>IF(O2,IF(Q2,Q15&amp;".ASTR.x.36M247",Q15&amp;".ASTR.x.36M"),(IF(Q2,Q15&amp;".ASTR.12M247",Q15&amp;".ASTR.x.z.")))</f>
        <v>DLLNX.CB.ASTR.x.z.</v>
      </c>
      <c r="C15" s="41" t="str">
        <f>IF(O4,IF(S3,S15&amp;"",S15&amp;""),(IF(S3,S15&amp;"",S15&amp;"")))&amp;O10&amp;Q10</f>
        <v>Dallas Lock Linux for Astra (СЗИ НСД).
Право на использование***. Бессрочная лицензия. Годовое гарантийное сопровождение.</v>
      </c>
      <c r="D15" s="93">
        <f>IF(SUM($P$12:$P$14)=3,8400*$P$11,SUMPRODUCT(D12:D14,$S$12:$S$14))</f>
        <v>0</v>
      </c>
      <c r="E15" s="93">
        <f>IF(SUM($P$12:$P$14)=3,8000*$P$11,SUMPRODUCT(E12:E14,$S$12:$S$14))</f>
        <v>0</v>
      </c>
      <c r="F15" s="93">
        <f>IF(SUM($P$12:$P$14)=3,7500*$P$11,SUMPRODUCT(F12:F14,$S$12:$S$14))</f>
        <v>0</v>
      </c>
      <c r="G15" s="93">
        <f>IF(SUM($P$12:$P$14)=3,7100*$P$11,SUMPRODUCT(G12:G14,$S$12:$S$14))</f>
        <v>0</v>
      </c>
      <c r="H15" s="93">
        <f>IF(SUM($P$12:$P$14)=3,6700*$P$11,SUMPRODUCT(H12:H14,$S$12:$S$14))</f>
        <v>0</v>
      </c>
      <c r="I15" s="93">
        <f>IF(SUM($P$12:$P$14)=3,6300*$P$11,SUMPRODUCT(I12:I14,$S$12:$S$14))</f>
        <v>0</v>
      </c>
      <c r="J15" s="93">
        <f>IF(SUM($P$12:$P$14)=3,5200*$P$11,SUMPRODUCT(J12:J14,$S$12:$S$14))</f>
        <v>0</v>
      </c>
      <c r="K15" s="93">
        <f>IF(SUM($P$12:$P$14)=3,5100*$P$11,SUMPRODUCT(K12:K14,$S$12:$S$14))</f>
        <v>0</v>
      </c>
      <c r="L15" s="42" t="s">
        <v>2</v>
      </c>
      <c r="M15" s="29"/>
      <c r="Q15" s="65" t="str">
        <f>"DLLNX.CB"&amp;Q12&amp;Q13&amp;Q14</f>
        <v>DLLNX.CB</v>
      </c>
      <c r="R15" s="67" t="str">
        <f>IF(CONCATENATE(,Q12,Q13,Q14)&lt;&gt;"","Dallas Lock Linux for Astra. Модули ("&amp;R12&amp;R13&amp;R14&amp;").","Dallas Lock Linux for Astra (СЗИ НСД).")</f>
        <v>Dallas Lock Linux for Astra (СЗИ НСД).</v>
      </c>
      <c r="S15" s="67" t="str">
        <f>R15&amp;"
Право на использование***. Бессрочная лицензия."</f>
        <v>Dallas Lock Linux for Astra (СЗИ НСД).
Право на использование***. Бессрочная лицензия.</v>
      </c>
    </row>
    <row r="16" spans="1:19" ht="12.75" customHeight="1" thickTop="1" x14ac:dyDescent="0.25">
      <c r="A16" s="29"/>
      <c r="B16" s="29"/>
      <c r="C16" s="29"/>
      <c r="D16" s="29"/>
      <c r="E16" s="29"/>
      <c r="F16" s="29"/>
      <c r="G16" s="29"/>
      <c r="H16" s="29"/>
      <c r="I16" s="29"/>
      <c r="J16" s="29"/>
      <c r="K16" s="29"/>
      <c r="L16" s="29"/>
      <c r="M16" s="29"/>
    </row>
    <row r="17" spans="1:19" ht="13.5" customHeight="1" x14ac:dyDescent="0.25">
      <c r="O17" t="str">
        <f>IF(O18," Гарантийное сопровождение на 3 года."," Годовое гарантийное сопровождение.")</f>
        <v xml:space="preserve"> Годовое гарантийное сопровождение.</v>
      </c>
      <c r="Q17" t="str">
        <f>IF(Q18," Техподдержка 24/7.","")</f>
        <v/>
      </c>
      <c r="R17" t="str">
        <f>IF(Q18," Техподдержка 24/7.","")</f>
        <v/>
      </c>
    </row>
    <row r="18" spans="1:19" ht="15.75" thickBot="1" x14ac:dyDescent="0.3">
      <c r="A18" s="18"/>
      <c r="B18" s="19" t="s">
        <v>24</v>
      </c>
      <c r="C18" s="18"/>
      <c r="D18" s="29" t="s">
        <v>118</v>
      </c>
      <c r="E18" s="29"/>
      <c r="F18" s="18"/>
      <c r="G18" s="18"/>
      <c r="H18" s="18"/>
      <c r="I18" s="18"/>
      <c r="J18" s="18"/>
      <c r="K18" s="29" t="s">
        <v>73</v>
      </c>
      <c r="L18" s="29"/>
      <c r="M18" s="18"/>
      <c r="O18" t="b">
        <v>0</v>
      </c>
      <c r="P18" s="36">
        <f>IF(O18,IF(Q18,1.6,1.35),IF(Q18,1.1,1))</f>
        <v>1</v>
      </c>
      <c r="Q18" t="b">
        <v>0</v>
      </c>
    </row>
    <row r="19" spans="1:19" ht="41.25" customHeight="1" thickTop="1" thickBot="1" x14ac:dyDescent="0.3">
      <c r="A19" s="29"/>
      <c r="B19" s="14" t="str">
        <f>IF($Q$18,IF($O$18,"DLLNX.CB.ITC-FW-IPS.x.36M247","DLLNX.CB.ITC-FW-IPS.x.12M247"),IF($O$18,"DLLNX.CB.ITC-FW-IPS.x.36M","DLLNX.CB.ITC-FW-IPS.x.z"))</f>
        <v>DLLNX.CB.ITC-FW-IPS.x.z</v>
      </c>
      <c r="C19" s="7" t="str">
        <f>"Dallas Lock Linux. Модули (СКН, МЭ, СОВ**).
Право на использование*** Бессрочная лицензия."&amp;O17&amp;Q17</f>
        <v>Dallas Lock Linux. Модули (СКН, МЭ, СОВ**).
Право на использование*** Бессрочная лицензия. Годовое гарантийное сопровождение.</v>
      </c>
      <c r="D19" s="114">
        <f>$P$18*8400</f>
        <v>8400</v>
      </c>
      <c r="E19" s="114">
        <f>$P$18*8000</f>
        <v>8000</v>
      </c>
      <c r="F19" s="114">
        <f>$P$18*7500</f>
        <v>7500</v>
      </c>
      <c r="G19" s="114">
        <f>$P$18*7100</f>
        <v>7100</v>
      </c>
      <c r="H19" s="114">
        <f>$P$18*6700</f>
        <v>6700</v>
      </c>
      <c r="I19" s="114">
        <f>$P$18*6300</f>
        <v>6300</v>
      </c>
      <c r="J19" s="114">
        <f>$P$18*5200</f>
        <v>5200</v>
      </c>
      <c r="K19" s="114">
        <f>$P$18*5100</f>
        <v>5100</v>
      </c>
      <c r="L19" s="114" t="s">
        <v>2</v>
      </c>
      <c r="M19" s="29"/>
      <c r="P19">
        <v>1</v>
      </c>
      <c r="Q19" t="b">
        <v>0</v>
      </c>
    </row>
    <row r="20" spans="1:19" ht="12.75" customHeight="1" thickTop="1" x14ac:dyDescent="0.25">
      <c r="A20" s="29"/>
      <c r="B20" s="29"/>
      <c r="C20" s="29"/>
      <c r="D20" s="29"/>
      <c r="E20" s="29"/>
      <c r="F20" s="29"/>
      <c r="G20" s="29"/>
      <c r="H20" s="29"/>
      <c r="I20" s="29"/>
      <c r="J20" s="29"/>
      <c r="K20" s="29"/>
      <c r="L20" s="29"/>
      <c r="M20" s="29"/>
    </row>
    <row r="21" spans="1:19" x14ac:dyDescent="0.25">
      <c r="O21" t="str">
        <f>IF(O22," Гарантийное сопровождение на 3 года."," Годовое гарантийное сопровождение.")</f>
        <v xml:space="preserve"> Годовое гарантийное сопровождение.</v>
      </c>
      <c r="Q21" t="str">
        <f>IF(Q22," Техподдержка 24/7.","")</f>
        <v/>
      </c>
      <c r="R21" t="str">
        <f>IF(Q22," Техподдержка 24/7.","")</f>
        <v/>
      </c>
    </row>
    <row r="22" spans="1:19" ht="14.45" customHeight="1" thickBot="1" x14ac:dyDescent="0.3">
      <c r="A22" s="18"/>
      <c r="B22" s="19" t="s">
        <v>140</v>
      </c>
      <c r="C22" s="18"/>
      <c r="D22" s="29" t="s">
        <v>118</v>
      </c>
      <c r="E22" s="29"/>
      <c r="F22" s="18"/>
      <c r="G22" s="18"/>
      <c r="H22" s="18"/>
      <c r="I22" s="18"/>
      <c r="J22" s="18"/>
      <c r="K22" s="29" t="s">
        <v>73</v>
      </c>
      <c r="L22" s="29"/>
      <c r="M22" s="18"/>
      <c r="O22" t="b">
        <v>0</v>
      </c>
      <c r="P22" s="36">
        <f>IF(O22,IF(Q22,1.6,1.35),IF(Q22,1.1,1))</f>
        <v>1</v>
      </c>
      <c r="Q22" t="b">
        <v>0</v>
      </c>
    </row>
    <row r="23" spans="1:19" ht="41.25" customHeight="1" thickTop="1" thickBot="1" x14ac:dyDescent="0.3">
      <c r="A23" s="29"/>
      <c r="B23" s="28" t="str">
        <f>IF($Q$22,IF($O$22,"DLLNX.CB.ITC.x.36M247","DLLNX.CB.ITC.x.12M247"),IF($O$22,"DLLNX.CB.ITC.x.36M","DLLNX.CB.ITC.x.z"))</f>
        <v>DLLNX.CB.ITC.x.z</v>
      </c>
      <c r="C23" s="45" t="s">
        <v>266</v>
      </c>
      <c r="D23" s="115">
        <f>$P$22*1700</f>
        <v>1700</v>
      </c>
      <c r="E23" s="115">
        <f>$P$22*1650</f>
        <v>1650</v>
      </c>
      <c r="F23" s="115">
        <f>$P$22*1580</f>
        <v>1580</v>
      </c>
      <c r="G23" s="115">
        <f>$P$22*1540</f>
        <v>1540</v>
      </c>
      <c r="H23" s="115">
        <f>$P$22*1520</f>
        <v>1520</v>
      </c>
      <c r="I23" s="115">
        <f>$P$22*1400</f>
        <v>1400</v>
      </c>
      <c r="J23" s="115">
        <f>$P$22*1270</f>
        <v>1270</v>
      </c>
      <c r="K23" s="115">
        <f>$P$22*1000</f>
        <v>1000</v>
      </c>
      <c r="L23" s="115" t="s">
        <v>2</v>
      </c>
      <c r="M23" s="29"/>
      <c r="O23" s="65" t="b">
        <v>0</v>
      </c>
      <c r="P23" s="65">
        <f>IF(O23,$R$4,0)</f>
        <v>0</v>
      </c>
      <c r="Q23" s="65" t="str">
        <f>IF(O23,".ITC","")</f>
        <v/>
      </c>
      <c r="R23" s="67" t="str">
        <f>IF(O23,"СКН","")</f>
        <v/>
      </c>
      <c r="S23" s="65">
        <f>IF(O23,1,1)</f>
        <v>1</v>
      </c>
    </row>
    <row r="24" spans="1:19" ht="41.25" customHeight="1" thickTop="1" thickBot="1" x14ac:dyDescent="0.3">
      <c r="A24" s="29"/>
      <c r="B24" s="15" t="str">
        <f>IF($Q$22,IF($O$22,"DLLNX.CB.FW.x.36M247","DLLNX.CB.FW.x.12M247"),IF($O$22,"DLLNX.CB.FW.x.36M","DLLNX.CB.FW.x.z"))</f>
        <v>DLLNX.CB.FW.x.z</v>
      </c>
      <c r="C24" s="7" t="str">
        <f>"Dallas Lock Linux. Модуль «Межсетевой экран».
Право на использование*** (МЭ). Бессрочная лицензия."&amp;O21&amp;Q21</f>
        <v>Dallas Lock Linux. Модуль «Межсетевой экран».
Право на использование*** (МЭ). Бессрочная лицензия. Годовое гарантийное сопровождение.</v>
      </c>
      <c r="D24" s="56">
        <f>$P$22*2000</f>
        <v>2000</v>
      </c>
      <c r="E24" s="56">
        <f>$P$22*1900</f>
        <v>1900</v>
      </c>
      <c r="F24" s="56">
        <f>$P$22*1800</f>
        <v>1800</v>
      </c>
      <c r="G24" s="56">
        <f>$P$22*1700</f>
        <v>1700</v>
      </c>
      <c r="H24" s="56">
        <f>$P$22*1600</f>
        <v>1600</v>
      </c>
      <c r="I24" s="56">
        <f>$P$22*1400</f>
        <v>1400</v>
      </c>
      <c r="J24" s="56">
        <f>$P$22*1100</f>
        <v>1100</v>
      </c>
      <c r="K24" s="56">
        <f>$P$22*1000</f>
        <v>1000</v>
      </c>
      <c r="L24" s="56" t="s">
        <v>2</v>
      </c>
      <c r="M24" s="29"/>
      <c r="O24" s="65" t="b">
        <v>0</v>
      </c>
      <c r="P24" s="65">
        <f t="shared" ref="P24:P25" si="1">IF(O24,$R$4,0)</f>
        <v>0</v>
      </c>
      <c r="Q24" s="65" t="str">
        <f>IF(O24,IF(O23,"-FW",".FW"),"")</f>
        <v/>
      </c>
      <c r="R24" s="67" t="str">
        <f>IF(O24,IF(O23,", МЭ","МЭ"),"")</f>
        <v/>
      </c>
      <c r="S24" s="65">
        <f t="shared" ref="S24:S25" si="2">IF(O24,1,1)</f>
        <v>1</v>
      </c>
    </row>
    <row r="25" spans="1:19" ht="63.6" customHeight="1" thickTop="1" thickBot="1" x14ac:dyDescent="0.3">
      <c r="A25" s="29"/>
      <c r="B25" s="92" t="str">
        <f>IF($Q$22,IF($O$22,"DLLNX.CB.IPS.x.36M247","DLLNX.CB.IPS.x.12M247"),IF($O$22,"DLLNX.CB.IPS.x.36M","DLLNX.CB.IPS.x.z"))</f>
        <v>DLLNX.CB.IPS.x.z</v>
      </c>
      <c r="C25" s="45" t="str">
        <f>"Dallas Lock Linux. Модуль «Система обнаружения вторжений».
Расширен модулем «Система обнаружения и реагирования».
Право на использование*** (СОВ**). Бессрочная лицензия."&amp;O21&amp;Q21</f>
        <v>Dallas Lock Linux. Модуль «Система обнаружения вторжений».
Расширен модулем «Система обнаружения и реагирования».
Право на использование*** (СОВ**). Бессрочная лицензия. Годовое гарантийное сопровождение.</v>
      </c>
      <c r="D25" s="55">
        <f>$P$22*5600</f>
        <v>5600</v>
      </c>
      <c r="E25" s="55">
        <f>$P$22*5400</f>
        <v>5400</v>
      </c>
      <c r="F25" s="55">
        <f>$P$22*5100</f>
        <v>5100</v>
      </c>
      <c r="G25" s="55">
        <f>$P$22*4800</f>
        <v>4800</v>
      </c>
      <c r="H25" s="55">
        <f>$P$22*4700</f>
        <v>4700</v>
      </c>
      <c r="I25" s="55">
        <f>$P$22*4200</f>
        <v>4200</v>
      </c>
      <c r="J25" s="55">
        <f>$P$22*3500</f>
        <v>3500</v>
      </c>
      <c r="K25" s="55">
        <f>$P$22*2900</f>
        <v>2900</v>
      </c>
      <c r="L25" s="91" t="s">
        <v>2</v>
      </c>
      <c r="M25" s="29"/>
      <c r="O25" s="65" t="b">
        <v>0</v>
      </c>
      <c r="P25" s="65">
        <f t="shared" si="1"/>
        <v>0</v>
      </c>
      <c r="Q25" s="65" t="str">
        <f>IF(O25,IF(CONCATENATE(Q23,Q24)="",".IPS","-IPS"),"")</f>
        <v/>
      </c>
      <c r="R25" s="67" t="str">
        <f>IF(O25,IF(CONCATENATE(Q23,Q24)="","СОВ**",", СОВ**"),"")</f>
        <v/>
      </c>
      <c r="S25" s="65">
        <f t="shared" si="2"/>
        <v>1</v>
      </c>
    </row>
    <row r="26" spans="1:19" ht="41.25" customHeight="1" thickTop="1" thickBot="1" x14ac:dyDescent="0.3">
      <c r="A26" s="29"/>
      <c r="B26" s="40" t="str">
        <f>IF(O24,IF(O25,Q26&amp;".x.36M247",Q26&amp;".x.36M"),(IF(O25,Q26&amp;".12M247",Q26&amp;".x.z.")))</f>
        <v>DLLNX.CB.x.z.</v>
      </c>
      <c r="C26" s="41" t="str">
        <f>IF(O15,IF(S14,S26&amp;"",S26&amp;""),(IF(S14,S26&amp;"",S26&amp;"")))&amp;O21&amp;Q21</f>
        <v>Dallas Lock Linux (СЗИ НСД).
Право на использование***. Бессрочная лицензия. Годовое гарантийное сопровождение.</v>
      </c>
      <c r="D26" s="93">
        <f>IF(SUM($P$23:$P$25)=3,8400*$P$22,SUMPRODUCT(D23:D25,$P$23:$P$25))</f>
        <v>0</v>
      </c>
      <c r="E26" s="93">
        <f>IF(SUM($P$23:$P$25)=3,8800*$P$22,SUMPRODUCT(E23:E25,$P$23:$P$25))</f>
        <v>0</v>
      </c>
      <c r="F26" s="93">
        <f>IF(SUM($P$23:$P$25)=3,7500*$P$22,SUMPRODUCT(F23:F25,$P$23:$P$25))</f>
        <v>0</v>
      </c>
      <c r="G26" s="93">
        <f>IF(SUM($P$23:$P$25)=3,7100*$P$22,SUMPRODUCT(G23:G25,$P$23:$P$25))</f>
        <v>0</v>
      </c>
      <c r="H26" s="93">
        <f>IF(SUM($P$23:$P$25)=3,6700*$P$22,SUMPRODUCT(H23:H25,$P$23:$P$25))</f>
        <v>0</v>
      </c>
      <c r="I26" s="93">
        <f>IF(SUM($P$23:$P$25)=3,6300*$P$22,SUMPRODUCT(I23:I25,$P$23:$P$25))</f>
        <v>0</v>
      </c>
      <c r="J26" s="93">
        <f>IF(SUM($P$23:$P$25)=3,5200*$P$22,SUMPRODUCT(J23:J25,$P$23:$P$25))</f>
        <v>0</v>
      </c>
      <c r="K26" s="93">
        <f>IF(SUM($P$23:$P$25)=3,5200*$P$22,SUMPRODUCT(K23:K25,$P$23:$P$25))</f>
        <v>0</v>
      </c>
      <c r="L26" s="42" t="s">
        <v>2</v>
      </c>
      <c r="M26" s="29"/>
      <c r="Q26" s="65" t="str">
        <f>"DLLNX.CB"&amp;Q23&amp;Q24&amp;Q25</f>
        <v>DLLNX.CB</v>
      </c>
      <c r="R26" s="67" t="str">
        <f>IF(CONCATENATE(,Q23,Q24,Q25)&lt;&gt;"","Dallas Lock Linux. Модули ("&amp;R23&amp;R24&amp;R25&amp;").","Dallas Lock Linux (СЗИ НСД).")</f>
        <v>Dallas Lock Linux (СЗИ НСД).</v>
      </c>
      <c r="S26" s="67" t="str">
        <f>R26&amp;"
Право на использование***. Бессрочная лицензия."</f>
        <v>Dallas Lock Linux (СЗИ НСД).
Право на использование***. Бессрочная лицензия.</v>
      </c>
    </row>
    <row r="27" spans="1:19" ht="12.75" customHeight="1" thickTop="1" x14ac:dyDescent="0.25">
      <c r="A27" s="29"/>
      <c r="B27" s="29"/>
      <c r="C27" s="29"/>
      <c r="D27" s="29"/>
      <c r="E27" s="29"/>
      <c r="F27" s="29"/>
      <c r="G27" s="29"/>
      <c r="H27" s="29"/>
      <c r="I27" s="29"/>
      <c r="J27" s="29"/>
      <c r="K27" s="29"/>
      <c r="L27" s="29"/>
      <c r="M27" s="29"/>
    </row>
    <row r="28" spans="1:19" ht="9.75" customHeight="1" x14ac:dyDescent="0.25">
      <c r="B28" s="13"/>
    </row>
    <row r="29" spans="1:19" ht="15.75" thickBot="1" x14ac:dyDescent="0.3">
      <c r="A29" s="18"/>
      <c r="B29" s="19" t="s">
        <v>148</v>
      </c>
      <c r="C29" s="18"/>
      <c r="D29" s="18"/>
      <c r="E29" s="18"/>
      <c r="F29" s="18"/>
      <c r="G29" s="18"/>
      <c r="H29" s="18"/>
      <c r="I29" s="18"/>
      <c r="J29" s="18"/>
      <c r="K29" s="18"/>
      <c r="L29" s="18"/>
      <c r="M29" s="18"/>
    </row>
    <row r="30" spans="1:19" ht="41.25" customHeight="1" thickTop="1" thickBot="1" x14ac:dyDescent="0.3">
      <c r="A30" s="18"/>
      <c r="B30" s="14" t="s">
        <v>8</v>
      </c>
      <c r="C30" s="7" t="s">
        <v>147</v>
      </c>
      <c r="D30" s="164">
        <v>1000</v>
      </c>
      <c r="E30" s="165"/>
      <c r="F30" s="165"/>
      <c r="G30" s="165"/>
      <c r="H30" s="165"/>
      <c r="I30" s="165"/>
      <c r="J30" s="165"/>
      <c r="K30" s="165"/>
      <c r="L30" s="166"/>
      <c r="M30" s="18"/>
    </row>
    <row r="31" spans="1:19" ht="6.75" customHeight="1" thickTop="1" x14ac:dyDescent="0.25">
      <c r="A31" s="18"/>
      <c r="B31" s="20"/>
      <c r="C31" s="18"/>
      <c r="D31" s="18"/>
      <c r="E31" s="18"/>
      <c r="F31" s="18"/>
      <c r="G31" s="18"/>
      <c r="H31" s="18"/>
      <c r="I31" s="18"/>
      <c r="J31" s="18"/>
      <c r="K31" s="18"/>
      <c r="L31" s="18"/>
      <c r="M31" s="18"/>
    </row>
    <row r="32" spans="1:19" ht="9.75" customHeight="1" x14ac:dyDescent="0.25">
      <c r="B32" s="13"/>
      <c r="O32" t="str">
        <f>IF(O33," Гарантийное сопровождение на 3 года."," Годовое гарантийное сопровождение.")</f>
        <v xml:space="preserve"> Годовое гарантийное сопровождение.</v>
      </c>
      <c r="Q32" t="str">
        <f>IF(Q33," Техподдержка 24/7.","")</f>
        <v/>
      </c>
    </row>
    <row r="33" spans="1:17" ht="16.899999999999999" customHeight="1" thickBot="1" x14ac:dyDescent="0.3">
      <c r="A33" s="18"/>
      <c r="B33" s="19" t="s">
        <v>101</v>
      </c>
      <c r="C33" s="18"/>
      <c r="D33" s="29" t="s">
        <v>118</v>
      </c>
      <c r="E33" s="29"/>
      <c r="F33" s="18"/>
      <c r="G33" s="18"/>
      <c r="H33" s="18"/>
      <c r="I33" s="18"/>
      <c r="J33" s="18"/>
      <c r="K33" s="29" t="s">
        <v>73</v>
      </c>
      <c r="L33" s="29"/>
      <c r="M33" s="18"/>
      <c r="O33" s="65" t="b">
        <v>0</v>
      </c>
      <c r="P33" s="94">
        <f>IF(O33,IF(Q33,1.6,1.35),IF(Q33,1.1,1))</f>
        <v>1</v>
      </c>
      <c r="Q33" s="65" t="b">
        <v>0</v>
      </c>
    </row>
    <row r="34" spans="1:17" ht="36" customHeight="1" thickTop="1" thickBot="1" x14ac:dyDescent="0.3">
      <c r="A34" s="18"/>
      <c r="B34" s="14" t="str">
        <f>IF($Q$33,IF($O$33,"DLMC.S.N3.x.36M247","DLMC.S.N3.x.12M247"),IF($O$33,"DLMC.S.N3.x.36M","DLMC.S.N3.x.z"))</f>
        <v>DLMC.S.N3.x.z</v>
      </c>
      <c r="C34" s="7" t="str">
        <f>"Единый центр управления Dallas Lock. Максимальное количество сетевых устройств для мониторинга: 3. Право на использование***. Бессрочная лицензия."&amp;O32&amp;Q32</f>
        <v>Единый центр управления Dallas Lock. Максимальное количество сетевых устройств для мониторинга: 3. Право на использование***. Бессрочная лицензия. Годовое гарантийное сопровождение.</v>
      </c>
      <c r="D34" s="5">
        <f>$P$33*10000</f>
        <v>10000</v>
      </c>
      <c r="E34" s="5">
        <f>$P$33*25000</f>
        <v>25000</v>
      </c>
      <c r="F34" s="5">
        <f>$P$33*50000</f>
        <v>50000</v>
      </c>
      <c r="G34" s="5">
        <f>$P$33*112000</f>
        <v>112000</v>
      </c>
      <c r="H34" s="5">
        <f>$P$33*220000</f>
        <v>220000</v>
      </c>
      <c r="I34" s="5">
        <f>$P$33*320000</f>
        <v>320000</v>
      </c>
      <c r="J34" s="5">
        <f>$P$33*420000</f>
        <v>420000</v>
      </c>
      <c r="K34" s="5">
        <f>$P$33*495000</f>
        <v>495000</v>
      </c>
      <c r="L34" s="5">
        <f>$P$33*920000</f>
        <v>920000</v>
      </c>
      <c r="M34" s="18"/>
    </row>
    <row r="35" spans="1:17" ht="17.25" customHeight="1" thickTop="1" x14ac:dyDescent="0.25">
      <c r="A35" s="18"/>
      <c r="B35" s="19"/>
      <c r="C35" s="18"/>
      <c r="D35" s="18"/>
      <c r="E35" s="18"/>
      <c r="F35" s="18"/>
      <c r="G35" s="18"/>
      <c r="H35" s="18"/>
      <c r="I35" s="18"/>
      <c r="J35" s="18"/>
      <c r="K35" s="18"/>
      <c r="L35" s="18"/>
      <c r="M35" s="18"/>
    </row>
    <row r="36" spans="1:17" ht="118.9" customHeight="1" x14ac:dyDescent="0.25">
      <c r="B36" s="13"/>
    </row>
    <row r="37" spans="1:17" x14ac:dyDescent="0.25">
      <c r="A37" s="16"/>
      <c r="B37" s="17" t="s">
        <v>33</v>
      </c>
      <c r="C37" s="16"/>
      <c r="D37" s="16"/>
      <c r="E37" s="16"/>
      <c r="F37" s="16"/>
      <c r="G37" s="16"/>
      <c r="H37" s="16"/>
      <c r="I37" s="16"/>
      <c r="J37" s="16"/>
      <c r="K37" s="16"/>
      <c r="L37" s="16"/>
      <c r="M37" s="16"/>
    </row>
    <row r="38" spans="1:17" ht="41.25" customHeight="1" x14ac:dyDescent="0.25">
      <c r="M38" s="4"/>
    </row>
    <row r="39" spans="1:17" ht="41.25" customHeight="1" x14ac:dyDescent="0.25">
      <c r="M39" s="4"/>
    </row>
    <row r="40" spans="1:17" ht="41.25" customHeight="1" x14ac:dyDescent="0.25">
      <c r="M40" s="4"/>
    </row>
    <row r="41" spans="1:17" ht="41.25" customHeight="1" x14ac:dyDescent="0.25">
      <c r="M41" s="4"/>
    </row>
    <row r="42" spans="1:17" ht="41.25" customHeight="1" x14ac:dyDescent="0.25">
      <c r="M42" s="4"/>
    </row>
  </sheetData>
  <mergeCells count="4">
    <mergeCell ref="B4:B5"/>
    <mergeCell ref="C4:C5"/>
    <mergeCell ref="D4:L4"/>
    <mergeCell ref="D30:L30"/>
  </mergeCells>
  <conditionalFormatting sqref="A33:L33 A34 M34 A35:M35">
    <cfRule type="expression" dxfId="32" priority="2">
      <formula>$O$33</formula>
    </cfRule>
  </conditionalFormatting>
  <conditionalFormatting sqref="A7:M7 M8 A8:A9 B9:M9">
    <cfRule type="expression" dxfId="31" priority="82">
      <formula>$O$7</formula>
    </cfRule>
    <cfRule type="expression" dxfId="30" priority="83">
      <formula>$Q$7</formula>
    </cfRule>
  </conditionalFormatting>
  <conditionalFormatting sqref="A11:M11 A12:A15 M12:M15 A16:M16">
    <cfRule type="expression" dxfId="29" priority="7">
      <formula>$Q$11</formula>
    </cfRule>
    <cfRule type="expression" dxfId="28" priority="9">
      <formula>$O$11</formula>
    </cfRule>
  </conditionalFormatting>
  <conditionalFormatting sqref="A18:M18 A19 M19 A20:M20">
    <cfRule type="expression" dxfId="27" priority="5">
      <formula>$Q$18</formula>
    </cfRule>
    <cfRule type="expression" dxfId="26" priority="6">
      <formula>$O$18</formula>
    </cfRule>
  </conditionalFormatting>
  <conditionalFormatting sqref="A22:M22 A23:A26 M23:M26 A27:M27">
    <cfRule type="expression" dxfId="25" priority="3">
      <formula>$Q$22</formula>
    </cfRule>
    <cfRule type="expression" dxfId="24" priority="4">
      <formula>$O$22</formula>
    </cfRule>
  </conditionalFormatting>
  <conditionalFormatting sqref="A33:M33 A34 M34 A35:M35">
    <cfRule type="expression" dxfId="23" priority="1">
      <formula>$Q$33</formula>
    </cfRule>
  </conditionalFormatting>
  <pageMargins left="0.59055118110236227" right="0.39370078740157483" top="0.23622047244094491" bottom="0.23622047244094491" header="0.31496062992125984" footer="0.31496062992125984"/>
  <pageSetup paperSize="9" scale="4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9155" r:id="rId4" name="Check Box 3">
              <controlPr defaultSize="0" autoFill="0" autoLine="0" autoPict="0">
                <anchor moveWithCells="1">
                  <from>
                    <xdr:col>2</xdr:col>
                    <xdr:colOff>3686175</xdr:colOff>
                    <xdr:row>32</xdr:row>
                    <xdr:rowOff>0</xdr:rowOff>
                  </from>
                  <to>
                    <xdr:col>3</xdr:col>
                    <xdr:colOff>47625</xdr:colOff>
                    <xdr:row>32</xdr:row>
                    <xdr:rowOff>180975</xdr:rowOff>
                  </to>
                </anchor>
              </controlPr>
            </control>
          </mc:Choice>
        </mc:AlternateContent>
        <mc:AlternateContent xmlns:mc="http://schemas.openxmlformats.org/markup-compatibility/2006">
          <mc:Choice Requires="x14">
            <control shapeId="49169" r:id="rId5" name="Check Box 17">
              <controlPr defaultSize="0" autoFill="0" autoLine="0" autoPict="0">
                <anchor moveWithCells="1">
                  <from>
                    <xdr:col>9</xdr:col>
                    <xdr:colOff>571500</xdr:colOff>
                    <xdr:row>32</xdr:row>
                    <xdr:rowOff>0</xdr:rowOff>
                  </from>
                  <to>
                    <xdr:col>10</xdr:col>
                    <xdr:colOff>0</xdr:colOff>
                    <xdr:row>33</xdr:row>
                    <xdr:rowOff>0</xdr:rowOff>
                  </to>
                </anchor>
              </controlPr>
            </control>
          </mc:Choice>
        </mc:AlternateContent>
        <mc:AlternateContent xmlns:mc="http://schemas.openxmlformats.org/markup-compatibility/2006">
          <mc:Choice Requires="x14">
            <control shapeId="49170" r:id="rId6" name="Check Box 18">
              <controlPr defaultSize="0" autoFill="0" autoLine="0" autoPict="0">
                <anchor moveWithCells="1">
                  <from>
                    <xdr:col>1</xdr:col>
                    <xdr:colOff>104775</xdr:colOff>
                    <xdr:row>12</xdr:row>
                    <xdr:rowOff>142875</xdr:rowOff>
                  </from>
                  <to>
                    <xdr:col>1</xdr:col>
                    <xdr:colOff>314325</xdr:colOff>
                    <xdr:row>12</xdr:row>
                    <xdr:rowOff>361950</xdr:rowOff>
                  </to>
                </anchor>
              </controlPr>
            </control>
          </mc:Choice>
        </mc:AlternateContent>
        <mc:AlternateContent xmlns:mc="http://schemas.openxmlformats.org/markup-compatibility/2006">
          <mc:Choice Requires="x14">
            <control shapeId="49171" r:id="rId7" name="Check Box 19">
              <controlPr defaultSize="0" autoFill="0" autoLine="0" autoPict="0">
                <anchor moveWithCells="1">
                  <from>
                    <xdr:col>1</xdr:col>
                    <xdr:colOff>95250</xdr:colOff>
                    <xdr:row>13</xdr:row>
                    <xdr:rowOff>276225</xdr:rowOff>
                  </from>
                  <to>
                    <xdr:col>1</xdr:col>
                    <xdr:colOff>285750</xdr:colOff>
                    <xdr:row>13</xdr:row>
                    <xdr:rowOff>523875</xdr:rowOff>
                  </to>
                </anchor>
              </controlPr>
            </control>
          </mc:Choice>
        </mc:AlternateContent>
        <mc:AlternateContent xmlns:mc="http://schemas.openxmlformats.org/markup-compatibility/2006">
          <mc:Choice Requires="x14">
            <control shapeId="49172" r:id="rId8" name="Check Box 20">
              <controlPr defaultSize="0" autoFill="0" autoLine="0" autoPict="0">
                <anchor moveWithCells="1">
                  <from>
                    <xdr:col>1</xdr:col>
                    <xdr:colOff>114300</xdr:colOff>
                    <xdr:row>11</xdr:row>
                    <xdr:rowOff>66675</xdr:rowOff>
                  </from>
                  <to>
                    <xdr:col>1</xdr:col>
                    <xdr:colOff>323850</xdr:colOff>
                    <xdr:row>11</xdr:row>
                    <xdr:rowOff>438150</xdr:rowOff>
                  </to>
                </anchor>
              </controlPr>
            </control>
          </mc:Choice>
        </mc:AlternateContent>
        <mc:AlternateContent xmlns:mc="http://schemas.openxmlformats.org/markup-compatibility/2006">
          <mc:Choice Requires="x14">
            <control shapeId="49173" r:id="rId9" name="Check Box 21">
              <controlPr defaultSize="0" autoFill="0" autoLine="0" autoPict="0">
                <anchor moveWithCells="1">
                  <from>
                    <xdr:col>2</xdr:col>
                    <xdr:colOff>3676650</xdr:colOff>
                    <xdr:row>9</xdr:row>
                    <xdr:rowOff>142875</xdr:rowOff>
                  </from>
                  <to>
                    <xdr:col>2</xdr:col>
                    <xdr:colOff>3905250</xdr:colOff>
                    <xdr:row>11</xdr:row>
                    <xdr:rowOff>38100</xdr:rowOff>
                  </to>
                </anchor>
              </controlPr>
            </control>
          </mc:Choice>
        </mc:AlternateContent>
        <mc:AlternateContent xmlns:mc="http://schemas.openxmlformats.org/markup-compatibility/2006">
          <mc:Choice Requires="x14">
            <control shapeId="49174" r:id="rId10" name="Check Box 22">
              <controlPr defaultSize="0" autoFill="0" autoLine="0" autoPict="0">
                <anchor moveWithCells="1">
                  <from>
                    <xdr:col>9</xdr:col>
                    <xdr:colOff>561975</xdr:colOff>
                    <xdr:row>9</xdr:row>
                    <xdr:rowOff>142875</xdr:rowOff>
                  </from>
                  <to>
                    <xdr:col>10</xdr:col>
                    <xdr:colOff>19050</xdr:colOff>
                    <xdr:row>11</xdr:row>
                    <xdr:rowOff>38100</xdr:rowOff>
                  </to>
                </anchor>
              </controlPr>
            </control>
          </mc:Choice>
        </mc:AlternateContent>
        <mc:AlternateContent xmlns:mc="http://schemas.openxmlformats.org/markup-compatibility/2006">
          <mc:Choice Requires="x14">
            <control shapeId="49175" r:id="rId11" name="Check Box 23">
              <controlPr defaultSize="0" autoFill="0" autoLine="0" autoPict="0">
                <anchor moveWithCells="1">
                  <from>
                    <xdr:col>2</xdr:col>
                    <xdr:colOff>3695700</xdr:colOff>
                    <xdr:row>5</xdr:row>
                    <xdr:rowOff>85725</xdr:rowOff>
                  </from>
                  <to>
                    <xdr:col>3</xdr:col>
                    <xdr:colOff>28575</xdr:colOff>
                    <xdr:row>7</xdr:row>
                    <xdr:rowOff>9525</xdr:rowOff>
                  </to>
                </anchor>
              </controlPr>
            </control>
          </mc:Choice>
        </mc:AlternateContent>
        <mc:AlternateContent xmlns:mc="http://schemas.openxmlformats.org/markup-compatibility/2006">
          <mc:Choice Requires="x14">
            <control shapeId="49176" r:id="rId12" name="Check Box 24">
              <controlPr defaultSize="0" autoFill="0" autoLine="0" autoPict="0">
                <anchor moveWithCells="1">
                  <from>
                    <xdr:col>9</xdr:col>
                    <xdr:colOff>561975</xdr:colOff>
                    <xdr:row>5</xdr:row>
                    <xdr:rowOff>95250</xdr:rowOff>
                  </from>
                  <to>
                    <xdr:col>10</xdr:col>
                    <xdr:colOff>0</xdr:colOff>
                    <xdr:row>7</xdr:row>
                    <xdr:rowOff>19050</xdr:rowOff>
                  </to>
                </anchor>
              </controlPr>
            </control>
          </mc:Choice>
        </mc:AlternateContent>
        <mc:AlternateContent xmlns:mc="http://schemas.openxmlformats.org/markup-compatibility/2006">
          <mc:Choice Requires="x14">
            <control shapeId="49191" r:id="rId13" name="Check Box 39">
              <controlPr defaultSize="0" autoFill="0" autoLine="0" autoPict="0">
                <anchor moveWithCells="1">
                  <from>
                    <xdr:col>1</xdr:col>
                    <xdr:colOff>104775</xdr:colOff>
                    <xdr:row>23</xdr:row>
                    <xdr:rowOff>142875</xdr:rowOff>
                  </from>
                  <to>
                    <xdr:col>1</xdr:col>
                    <xdr:colOff>314325</xdr:colOff>
                    <xdr:row>23</xdr:row>
                    <xdr:rowOff>361950</xdr:rowOff>
                  </to>
                </anchor>
              </controlPr>
            </control>
          </mc:Choice>
        </mc:AlternateContent>
        <mc:AlternateContent xmlns:mc="http://schemas.openxmlformats.org/markup-compatibility/2006">
          <mc:Choice Requires="x14">
            <control shapeId="49192" r:id="rId14" name="Check Box 40">
              <controlPr defaultSize="0" autoFill="0" autoLine="0" autoPict="0">
                <anchor moveWithCells="1">
                  <from>
                    <xdr:col>1</xdr:col>
                    <xdr:colOff>95250</xdr:colOff>
                    <xdr:row>24</xdr:row>
                    <xdr:rowOff>276225</xdr:rowOff>
                  </from>
                  <to>
                    <xdr:col>1</xdr:col>
                    <xdr:colOff>285750</xdr:colOff>
                    <xdr:row>24</xdr:row>
                    <xdr:rowOff>523875</xdr:rowOff>
                  </to>
                </anchor>
              </controlPr>
            </control>
          </mc:Choice>
        </mc:AlternateContent>
        <mc:AlternateContent xmlns:mc="http://schemas.openxmlformats.org/markup-compatibility/2006">
          <mc:Choice Requires="x14">
            <control shapeId="49193" r:id="rId15" name="Check Box 41">
              <controlPr defaultSize="0" autoFill="0" autoLine="0" autoPict="0">
                <anchor moveWithCells="1">
                  <from>
                    <xdr:col>1</xdr:col>
                    <xdr:colOff>114300</xdr:colOff>
                    <xdr:row>22</xdr:row>
                    <xdr:rowOff>66675</xdr:rowOff>
                  </from>
                  <to>
                    <xdr:col>1</xdr:col>
                    <xdr:colOff>323850</xdr:colOff>
                    <xdr:row>22</xdr:row>
                    <xdr:rowOff>438150</xdr:rowOff>
                  </to>
                </anchor>
              </controlPr>
            </control>
          </mc:Choice>
        </mc:AlternateContent>
        <mc:AlternateContent xmlns:mc="http://schemas.openxmlformats.org/markup-compatibility/2006">
          <mc:Choice Requires="x14">
            <control shapeId="49194" r:id="rId16" name="Check Box 42">
              <controlPr defaultSize="0" autoFill="0" autoLine="0" autoPict="0">
                <anchor moveWithCells="1">
                  <from>
                    <xdr:col>2</xdr:col>
                    <xdr:colOff>3686175</xdr:colOff>
                    <xdr:row>20</xdr:row>
                    <xdr:rowOff>123825</xdr:rowOff>
                  </from>
                  <to>
                    <xdr:col>3</xdr:col>
                    <xdr:colOff>9525</xdr:colOff>
                    <xdr:row>22</xdr:row>
                    <xdr:rowOff>28575</xdr:rowOff>
                  </to>
                </anchor>
              </controlPr>
            </control>
          </mc:Choice>
        </mc:AlternateContent>
        <mc:AlternateContent xmlns:mc="http://schemas.openxmlformats.org/markup-compatibility/2006">
          <mc:Choice Requires="x14">
            <control shapeId="49195" r:id="rId17" name="Check Box 43">
              <controlPr defaultSize="0" autoFill="0" autoLine="0" autoPict="0">
                <anchor moveWithCells="1">
                  <from>
                    <xdr:col>9</xdr:col>
                    <xdr:colOff>590550</xdr:colOff>
                    <xdr:row>20</xdr:row>
                    <xdr:rowOff>133350</xdr:rowOff>
                  </from>
                  <to>
                    <xdr:col>10</xdr:col>
                    <xdr:colOff>47625</xdr:colOff>
                    <xdr:row>22</xdr:row>
                    <xdr:rowOff>38100</xdr:rowOff>
                  </to>
                </anchor>
              </controlPr>
            </control>
          </mc:Choice>
        </mc:AlternateContent>
        <mc:AlternateContent xmlns:mc="http://schemas.openxmlformats.org/markup-compatibility/2006">
          <mc:Choice Requires="x14">
            <control shapeId="49196" r:id="rId18" name="Check Box 44">
              <controlPr defaultSize="0" autoFill="0" autoLine="0" autoPict="0">
                <anchor moveWithCells="1">
                  <from>
                    <xdr:col>2</xdr:col>
                    <xdr:colOff>3695700</xdr:colOff>
                    <xdr:row>16</xdr:row>
                    <xdr:rowOff>142875</xdr:rowOff>
                  </from>
                  <to>
                    <xdr:col>3</xdr:col>
                    <xdr:colOff>28575</xdr:colOff>
                    <xdr:row>18</xdr:row>
                    <xdr:rowOff>19050</xdr:rowOff>
                  </to>
                </anchor>
              </controlPr>
            </control>
          </mc:Choice>
        </mc:AlternateContent>
        <mc:AlternateContent xmlns:mc="http://schemas.openxmlformats.org/markup-compatibility/2006">
          <mc:Choice Requires="x14">
            <control shapeId="49197" r:id="rId19" name="Check Box 45">
              <controlPr defaultSize="0" autoFill="0" autoLine="0" autoPict="0">
                <anchor moveWithCells="1">
                  <from>
                    <xdr:col>9</xdr:col>
                    <xdr:colOff>581025</xdr:colOff>
                    <xdr:row>16</xdr:row>
                    <xdr:rowOff>142875</xdr:rowOff>
                  </from>
                  <to>
                    <xdr:col>10</xdr:col>
                    <xdr:colOff>19050</xdr:colOff>
                    <xdr:row>18</xdr:row>
                    <xdr:rowOff>19050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Лист1">
    <pageSetUpPr fitToPage="1"/>
  </sheetPr>
  <dimension ref="A2:AA34"/>
  <sheetViews>
    <sheetView showGridLines="0" showRowColHeaders="0" zoomScaleNormal="100" workbookViewId="0">
      <selection activeCell="U1" sqref="U1:U1048576"/>
    </sheetView>
  </sheetViews>
  <sheetFormatPr defaultColWidth="9.140625" defaultRowHeight="15" x14ac:dyDescent="0.25"/>
  <cols>
    <col min="1" max="1" width="2" customWidth="1"/>
    <col min="2" max="2" width="31" customWidth="1"/>
    <col min="3" max="3" width="55.28515625" customWidth="1"/>
    <col min="4" max="12" width="10.5703125" customWidth="1"/>
    <col min="13" max="13" width="1.5703125" customWidth="1"/>
    <col min="14" max="14" width="4" hidden="1" customWidth="1"/>
    <col min="15" max="15" width="6.5703125" hidden="1" customWidth="1"/>
    <col min="16" max="17" width="2" hidden="1" customWidth="1"/>
    <col min="18" max="18" width="5" hidden="1" customWidth="1"/>
    <col min="19" max="19" width="8.5703125" hidden="1" customWidth="1"/>
    <col min="20" max="20" width="13" hidden="1" customWidth="1"/>
    <col min="21" max="21" width="6.5703125" hidden="1" customWidth="1"/>
    <col min="22" max="22" width="13" hidden="1" customWidth="1"/>
    <col min="23" max="23" width="17.140625" customWidth="1"/>
    <col min="24" max="24" width="19" customWidth="1"/>
    <col min="25" max="25" width="17.85546875" customWidth="1"/>
    <col min="26" max="26" width="0.140625" customWidth="1"/>
    <col min="27" max="27" width="9.140625" hidden="1" customWidth="1"/>
    <col min="28" max="28" width="21.5703125" customWidth="1"/>
    <col min="29" max="29" width="17.42578125" customWidth="1"/>
    <col min="30" max="30" width="18.85546875" customWidth="1"/>
    <col min="31" max="31" width="11.5703125" customWidth="1"/>
    <col min="32" max="32" width="14.85546875" customWidth="1"/>
    <col min="33" max="33" width="10.85546875" customWidth="1"/>
  </cols>
  <sheetData>
    <row r="2" spans="1:22" ht="85.5" customHeight="1" x14ac:dyDescent="0.25"/>
    <row r="3" spans="1:22" ht="29.25" thickBot="1" x14ac:dyDescent="0.5">
      <c r="B3" s="34" t="s">
        <v>23</v>
      </c>
      <c r="C3" s="34"/>
      <c r="D3" s="34"/>
      <c r="E3" s="72"/>
      <c r="F3" s="72" t="s">
        <v>62</v>
      </c>
      <c r="G3" s="34"/>
      <c r="H3" s="34"/>
      <c r="I3" s="34"/>
      <c r="J3" s="34"/>
      <c r="K3" s="34"/>
      <c r="L3" s="34"/>
    </row>
    <row r="4" spans="1:22" ht="26.25" customHeight="1" thickTop="1" thickBot="1" x14ac:dyDescent="0.3">
      <c r="B4" s="150" t="s">
        <v>3</v>
      </c>
      <c r="C4" s="152" t="s">
        <v>0</v>
      </c>
      <c r="D4" s="167" t="s">
        <v>74</v>
      </c>
      <c r="E4" s="167"/>
      <c r="F4" s="167"/>
      <c r="G4" s="167"/>
      <c r="H4" s="167"/>
      <c r="I4" s="167"/>
      <c r="J4" s="167"/>
      <c r="K4" s="167"/>
      <c r="L4" s="168"/>
    </row>
    <row r="5" spans="1:22" ht="21.75" customHeight="1" thickTop="1" thickBot="1" x14ac:dyDescent="0.3">
      <c r="B5" s="151"/>
      <c r="C5" s="153"/>
      <c r="D5" s="1" t="s">
        <v>1</v>
      </c>
      <c r="E5" s="1" t="s">
        <v>27</v>
      </c>
      <c r="F5" s="2" t="s">
        <v>28</v>
      </c>
      <c r="G5" s="1" t="s">
        <v>29</v>
      </c>
      <c r="H5" s="2" t="s">
        <v>30</v>
      </c>
      <c r="I5" s="1" t="s">
        <v>31</v>
      </c>
      <c r="J5" s="1" t="s">
        <v>32</v>
      </c>
      <c r="K5" s="1" t="s">
        <v>26</v>
      </c>
      <c r="L5" s="3" t="s">
        <v>25</v>
      </c>
      <c r="N5">
        <v>1.1000000000000001</v>
      </c>
    </row>
    <row r="6" spans="1:22" ht="9.75" customHeight="1" thickTop="1" x14ac:dyDescent="0.25">
      <c r="B6" s="13"/>
      <c r="O6" t="b">
        <v>0</v>
      </c>
      <c r="S6" t="b">
        <v>1</v>
      </c>
    </row>
    <row r="7" spans="1:22" ht="15.75" thickBot="1" x14ac:dyDescent="0.3">
      <c r="A7" s="18"/>
      <c r="B7" s="19" t="s">
        <v>24</v>
      </c>
      <c r="C7" s="18"/>
      <c r="D7" s="29" t="s">
        <v>34</v>
      </c>
      <c r="E7" s="29"/>
      <c r="F7" s="18"/>
      <c r="G7" s="18"/>
      <c r="H7" s="18"/>
      <c r="I7" s="18"/>
      <c r="J7" s="18"/>
      <c r="K7" s="18"/>
      <c r="L7" s="29" t="s">
        <v>73</v>
      </c>
      <c r="M7" s="18"/>
      <c r="O7" s="44" t="b">
        <v>0</v>
      </c>
      <c r="P7" s="36">
        <f>IF(O7,IF(S7,1.6,1.35),IF(S7,1.1,1))</f>
        <v>1</v>
      </c>
      <c r="Q7">
        <v>0</v>
      </c>
      <c r="R7">
        <v>0</v>
      </c>
      <c r="S7" t="b">
        <v>0</v>
      </c>
    </row>
    <row r="8" spans="1:22" ht="40.5" customHeight="1" thickTop="1" thickBot="1" x14ac:dyDescent="0.3">
      <c r="A8" s="18"/>
      <c r="B8" s="27" t="str">
        <f>IF($S$7,IF($O$7,"DL80K.C.UADS-ITC.x.36M247","DL80K.C.UADS-ITC.x.12M247"),IF($O$7,"DL80K.C.UADS-ITC.x.36M","DL80K.C.UADS-ITC.x.z"))</f>
        <v>DL80K.C.UADS-ITC.x.z</v>
      </c>
      <c r="C8" s="23" t="s">
        <v>240</v>
      </c>
      <c r="D8" s="24">
        <f>$P$7*9000</f>
        <v>9000</v>
      </c>
      <c r="E8" s="24">
        <f>$P$7*8800</f>
        <v>8800</v>
      </c>
      <c r="F8" s="24">
        <f>$P$7*8600</f>
        <v>8600</v>
      </c>
      <c r="G8" s="24">
        <f>$P$7*7700</f>
        <v>7700</v>
      </c>
      <c r="H8" s="24">
        <f>$P$7*7600</f>
        <v>7600</v>
      </c>
      <c r="I8" s="24">
        <f>$P$7*6800</f>
        <v>6800</v>
      </c>
      <c r="J8" s="24">
        <f>$P$7*5100</f>
        <v>5100</v>
      </c>
      <c r="K8" s="24">
        <f>$P$7*5000</f>
        <v>5000</v>
      </c>
      <c r="L8" s="24" t="s">
        <v>2</v>
      </c>
      <c r="M8" s="18"/>
      <c r="O8" s="44"/>
      <c r="Q8">
        <v>1</v>
      </c>
      <c r="R8">
        <v>0.6</v>
      </c>
    </row>
    <row r="9" spans="1:22" ht="40.5" customHeight="1" thickTop="1" thickBot="1" x14ac:dyDescent="0.3">
      <c r="A9" s="18"/>
      <c r="B9" s="28" t="str">
        <f>IF($S$7,IF($O$7,"DL80K.C.FW.x.36M247","DL80K.C.FW.x.12M247"),IF($O$7,"DL80K.C.FW.x.36M","DL80K.C.FW.x.z"))</f>
        <v>DL80K.C.FW.x.z</v>
      </c>
      <c r="C9" s="21" t="s">
        <v>78</v>
      </c>
      <c r="D9" s="22">
        <f>$P$7*2000</f>
        <v>2000</v>
      </c>
      <c r="E9" s="22">
        <f>$P$7*1900</f>
        <v>1900</v>
      </c>
      <c r="F9" s="22">
        <f>$P$7*1800</f>
        <v>1800</v>
      </c>
      <c r="G9" s="22">
        <f>$P$7*1700</f>
        <v>1700</v>
      </c>
      <c r="H9" s="22">
        <f>$P$7*1600</f>
        <v>1600</v>
      </c>
      <c r="I9" s="22">
        <f>$P$7*1400</f>
        <v>1400</v>
      </c>
      <c r="J9" s="22">
        <f>$P$7*1100</f>
        <v>1100</v>
      </c>
      <c r="K9" s="22">
        <f>$P$7*1000</f>
        <v>1000</v>
      </c>
      <c r="L9" s="22" t="s">
        <v>2</v>
      </c>
      <c r="M9" s="18"/>
      <c r="O9" s="44" t="b">
        <v>0</v>
      </c>
      <c r="P9">
        <f>IF(O9,1,0)</f>
        <v>0</v>
      </c>
      <c r="Q9">
        <v>2</v>
      </c>
      <c r="R9">
        <v>0.54</v>
      </c>
      <c r="S9" t="s">
        <v>66</v>
      </c>
      <c r="T9" t="str">
        <f>IF($O9,S9,"")</f>
        <v/>
      </c>
      <c r="U9" t="s">
        <v>69</v>
      </c>
      <c r="V9" t="str">
        <f>IF($O9,U9,"")</f>
        <v/>
      </c>
    </row>
    <row r="10" spans="1:22" ht="57" customHeight="1" thickTop="1" thickBot="1" x14ac:dyDescent="0.3">
      <c r="A10" s="18"/>
      <c r="B10" s="15" t="str">
        <f>IF($S$7,IF($O$7,"DL80K.C.IPS.x.36M247","DL80K.C.IPS.x.12M247"),IF($O$7,"DL80K.C.IPS.x.36M","DL80K.C.IPS.x.z"))</f>
        <v>DL80K.C.IPS.x.z</v>
      </c>
      <c r="C10" s="7" t="s">
        <v>176</v>
      </c>
      <c r="D10" s="5">
        <f>$P$7*5700</f>
        <v>5700</v>
      </c>
      <c r="E10" s="5">
        <f>$P$7*5500</f>
        <v>5500</v>
      </c>
      <c r="F10" s="5">
        <f>$P$7*5400</f>
        <v>5400</v>
      </c>
      <c r="G10" s="5">
        <f>$P$7*5000</f>
        <v>5000</v>
      </c>
      <c r="H10" s="5">
        <f>$P$7*4900</f>
        <v>4900</v>
      </c>
      <c r="I10" s="5">
        <f>$P$7*4200</f>
        <v>4200</v>
      </c>
      <c r="J10" s="5">
        <f>$P$7*3500</f>
        <v>3500</v>
      </c>
      <c r="K10" s="5">
        <f>$P$7*3400</f>
        <v>3400</v>
      </c>
      <c r="L10" s="5" t="s">
        <v>2</v>
      </c>
      <c r="M10" s="18"/>
      <c r="O10" s="44" t="b">
        <v>0</v>
      </c>
      <c r="P10">
        <f t="shared" ref="P10:P12" si="0">IF(O10,1,0)</f>
        <v>0</v>
      </c>
      <c r="Q10">
        <v>3</v>
      </c>
      <c r="R10">
        <v>0.5</v>
      </c>
      <c r="S10" t="s">
        <v>67</v>
      </c>
      <c r="T10" t="str">
        <f t="shared" ref="T10:V12" si="1">IF($O10,S10,"")</f>
        <v/>
      </c>
      <c r="U10" t="s">
        <v>70</v>
      </c>
      <c r="V10" t="str">
        <f t="shared" si="1"/>
        <v/>
      </c>
    </row>
    <row r="11" spans="1:22" ht="40.5" customHeight="1" thickTop="1" thickBot="1" x14ac:dyDescent="0.3">
      <c r="A11" s="18"/>
      <c r="B11" s="132" t="str">
        <f>IF($S$7,IF($O$7,"DL80K.C.BR.x.36M247","DL80K.C.BR.x.12M247"),IF($O$7,"DL80K.C.BR.x.36M","DL80K.C.BR.x.z"))</f>
        <v>DL80K.C.BR.x.z</v>
      </c>
      <c r="C11" s="8" t="s">
        <v>81</v>
      </c>
      <c r="D11" s="6">
        <f>$P$7*1700</f>
        <v>1700</v>
      </c>
      <c r="E11" s="6">
        <f>$P$7*1600</f>
        <v>1600</v>
      </c>
      <c r="F11" s="6">
        <f>$P$7*1550</f>
        <v>1550</v>
      </c>
      <c r="G11" s="6">
        <f>$P$7*1500</f>
        <v>1500</v>
      </c>
      <c r="H11" s="6">
        <f>$P$7*1450</f>
        <v>1450</v>
      </c>
      <c r="I11" s="6">
        <f>$P$7*1400</f>
        <v>1400</v>
      </c>
      <c r="J11" s="6">
        <f>$P$7*1350</f>
        <v>1350</v>
      </c>
      <c r="K11" s="6">
        <f>$P$7*1300</f>
        <v>1300</v>
      </c>
      <c r="L11" s="6" t="s">
        <v>2</v>
      </c>
      <c r="M11" s="18"/>
      <c r="O11" s="44" t="b">
        <v>0</v>
      </c>
      <c r="P11">
        <f t="shared" si="0"/>
        <v>0</v>
      </c>
      <c r="Q11">
        <v>5</v>
      </c>
      <c r="R11">
        <v>0.44999999999999996</v>
      </c>
      <c r="S11" t="s">
        <v>68</v>
      </c>
      <c r="T11" t="str">
        <f t="shared" si="1"/>
        <v/>
      </c>
      <c r="U11" t="s">
        <v>71</v>
      </c>
      <c r="V11" t="str">
        <f t="shared" si="1"/>
        <v/>
      </c>
    </row>
    <row r="12" spans="1:22" ht="40.5" customHeight="1" thickTop="1" thickBot="1" x14ac:dyDescent="0.3">
      <c r="A12" s="18"/>
      <c r="B12" s="15" t="str">
        <f>IF($S$7,IF($O$7,"DL80K.C.ITC2.x.36M247","DL80K.C.ITC2.x.12M247"),IF($O$7,"DL80K.C.ITC2.x.36M","DL80K.C.ITC2.x.z"))</f>
        <v>DL80K.C.ITC2.x.z</v>
      </c>
      <c r="C12" s="7" t="s">
        <v>79</v>
      </c>
      <c r="D12" s="5">
        <f>$P$7*1700</f>
        <v>1700</v>
      </c>
      <c r="E12" s="5">
        <f>$P$7*1600</f>
        <v>1600</v>
      </c>
      <c r="F12" s="5">
        <f>$P$7*1550</f>
        <v>1550</v>
      </c>
      <c r="G12" s="5">
        <f>$P$7*1500</f>
        <v>1500</v>
      </c>
      <c r="H12" s="5">
        <f>$P$7*1450</f>
        <v>1450</v>
      </c>
      <c r="I12" s="5">
        <f>$P$7*1400</f>
        <v>1400</v>
      </c>
      <c r="J12" s="5">
        <f>$P$7*1350</f>
        <v>1350</v>
      </c>
      <c r="K12" s="5">
        <f>$P$7*1300</f>
        <v>1300</v>
      </c>
      <c r="L12" s="5" t="s">
        <v>2</v>
      </c>
      <c r="M12" s="18"/>
      <c r="O12" s="44" t="b">
        <v>0</v>
      </c>
      <c r="P12">
        <f t="shared" si="0"/>
        <v>0</v>
      </c>
      <c r="Q12">
        <v>6</v>
      </c>
      <c r="R12">
        <v>0.44999999999999996</v>
      </c>
      <c r="S12" t="s">
        <v>139</v>
      </c>
      <c r="T12" t="str">
        <f t="shared" si="1"/>
        <v/>
      </c>
      <c r="U12" t="s">
        <v>72</v>
      </c>
      <c r="V12" t="str">
        <f t="shared" si="1"/>
        <v/>
      </c>
    </row>
    <row r="13" spans="1:22" ht="31.5" customHeight="1" thickTop="1" thickBot="1" x14ac:dyDescent="0.3">
      <c r="A13" s="18"/>
      <c r="B13" s="40" t="str">
        <f>IF($S$7,IF($O$7,"DL80K.C.UADS-ITC"&amp;T13&amp;".x.36M247","DL80K.C.UADS-ITC"&amp;T13&amp;".x.12M247"),IF($O$7,"DL80K.C.UADS-ITC"&amp;T13&amp;".x.36M","DL80K.C.UADS-ITC"&amp;T13&amp;".x.z"))</f>
        <v>DL80K.C.UADS-ITC.x.z</v>
      </c>
      <c r="C13" s="41" t="str">
        <f>"Dallas Lock 8.0-К (СЗИ НСД, СКН"&amp;V13&amp;").
Право на использование**. Бессрочная лицензия."</f>
        <v>Dallas Lock 8.0-К (СЗИ НСД, СКН).
Право на использование**. Бессрочная лицензия.</v>
      </c>
      <c r="D13" s="47">
        <f>IF($P$9*$P$10*$P$11*$P$12=1,SUM(D8:D12)*$O$13,(D8+SUMPRODUCT(D9:D12,$P$9:$P$12)))</f>
        <v>9000</v>
      </c>
      <c r="E13" s="47">
        <f t="shared" ref="E13:K13" si="2">IF($P$9*$P$10*$P$11*$P$12=1,SUM(E8:E12)*$O$13,(E8+SUMPRODUCT(E9:E12,$P$9:$P$12)))</f>
        <v>8800</v>
      </c>
      <c r="F13" s="47">
        <f t="shared" si="2"/>
        <v>8600</v>
      </c>
      <c r="G13" s="47">
        <f t="shared" si="2"/>
        <v>7700</v>
      </c>
      <c r="H13" s="47">
        <f t="shared" si="2"/>
        <v>7600</v>
      </c>
      <c r="I13" s="47">
        <f t="shared" si="2"/>
        <v>6800</v>
      </c>
      <c r="J13" s="47">
        <f t="shared" si="2"/>
        <v>5100</v>
      </c>
      <c r="K13" s="47">
        <f t="shared" si="2"/>
        <v>5000</v>
      </c>
      <c r="L13" s="42" t="s">
        <v>2</v>
      </c>
      <c r="M13" s="18"/>
      <c r="O13" s="64">
        <v>0.95</v>
      </c>
      <c r="T13" t="str">
        <f>IF(CONCATENATE(T9,T10,T11,T12)&lt;&gt;"","-"&amp;LEFT(CONCATENATE(T9,T10,T11,T12),LEN(CONCATENATE(T9,T10,T11,T12))-1),"")</f>
        <v/>
      </c>
      <c r="V13" t="str">
        <f>IF(CONCATENATE(V9,V10,V11,V12)&lt;&gt;"",", "&amp;LEFT(CONCATENATE(V9,V10,V11,V12),LEN(CONCATENATE(V9,V10,V11,V12))-2),"")</f>
        <v/>
      </c>
    </row>
    <row r="14" spans="1:22" ht="9.75" customHeight="1" thickTop="1" thickBot="1" x14ac:dyDescent="0.3">
      <c r="A14" s="20"/>
      <c r="B14" s="20"/>
      <c r="C14" s="20"/>
      <c r="D14" s="20"/>
      <c r="E14" s="20"/>
      <c r="F14" s="20"/>
      <c r="G14" s="20"/>
      <c r="H14" s="20"/>
      <c r="I14" s="20"/>
      <c r="J14" s="20"/>
      <c r="K14" s="20"/>
      <c r="L14" s="20"/>
      <c r="M14" s="20"/>
      <c r="O14" s="44"/>
      <c r="P14" s="36"/>
    </row>
    <row r="15" spans="1:22" ht="40.5" customHeight="1" thickTop="1" thickBot="1" x14ac:dyDescent="0.3">
      <c r="A15" s="18"/>
      <c r="B15" s="26" t="str">
        <f>IF($S$7,IF($O$7,"DL80.T.х.36M247","DL80.T.х.12M247"),IF($O$7,"DL80.T.х.36M","DL80.T.х.z"))</f>
        <v>DL80.T.х.z</v>
      </c>
      <c r="C15" s="8" t="s">
        <v>77</v>
      </c>
      <c r="D15" s="6">
        <f>$P$7*2800</f>
        <v>2800</v>
      </c>
      <c r="E15" s="6">
        <f>$P$7*2600</f>
        <v>2600</v>
      </c>
      <c r="F15" s="6">
        <f>$P$7*2200</f>
        <v>2200</v>
      </c>
      <c r="G15" s="6">
        <f>$P$7*1900</f>
        <v>1900</v>
      </c>
      <c r="H15" s="6">
        <f>$P$7*1700</f>
        <v>1700</v>
      </c>
      <c r="I15" s="6">
        <f>$P$7*1600</f>
        <v>1600</v>
      </c>
      <c r="J15" s="6">
        <f>$P$7*1500</f>
        <v>1500</v>
      </c>
      <c r="K15" s="6" t="s">
        <v>2</v>
      </c>
      <c r="L15" s="6" t="s">
        <v>2</v>
      </c>
      <c r="M15" s="18"/>
    </row>
    <row r="16" spans="1:22" ht="6.75" customHeight="1" thickTop="1" x14ac:dyDescent="0.25">
      <c r="A16" s="18"/>
      <c r="B16" s="20"/>
      <c r="C16" s="18"/>
      <c r="D16" s="18"/>
      <c r="E16" s="18"/>
      <c r="F16" s="18"/>
      <c r="G16" s="18"/>
      <c r="H16" s="18"/>
      <c r="I16" s="18"/>
      <c r="J16" s="18"/>
      <c r="K16" s="18"/>
      <c r="L16" s="18"/>
      <c r="M16" s="18"/>
    </row>
    <row r="17" spans="1:19" ht="9.75" customHeight="1" x14ac:dyDescent="0.25">
      <c r="B17" s="13"/>
    </row>
    <row r="18" spans="1:19" ht="15.75" thickBot="1" x14ac:dyDescent="0.3">
      <c r="A18" s="18"/>
      <c r="B18" s="19" t="s">
        <v>148</v>
      </c>
      <c r="C18" s="18"/>
      <c r="D18" s="18"/>
      <c r="E18" s="18"/>
      <c r="F18" s="18"/>
      <c r="G18" s="18"/>
      <c r="H18" s="18"/>
      <c r="I18" s="18"/>
      <c r="J18" s="18"/>
      <c r="K18" s="18"/>
      <c r="L18" s="18"/>
      <c r="M18" s="18"/>
    </row>
    <row r="19" spans="1:19" ht="40.5" customHeight="1" thickTop="1" thickBot="1" x14ac:dyDescent="0.3">
      <c r="A19" s="18"/>
      <c r="B19" s="26" t="s">
        <v>5</v>
      </c>
      <c r="C19" s="8" t="s">
        <v>141</v>
      </c>
      <c r="D19" s="161">
        <v>1000</v>
      </c>
      <c r="E19" s="162"/>
      <c r="F19" s="162"/>
      <c r="G19" s="162"/>
      <c r="H19" s="162"/>
      <c r="I19" s="162"/>
      <c r="J19" s="162"/>
      <c r="K19" s="162"/>
      <c r="L19" s="163"/>
      <c r="M19" s="18"/>
    </row>
    <row r="20" spans="1:19" ht="40.5" hidden="1" customHeight="1" thickTop="1" thickBot="1" x14ac:dyDescent="0.3">
      <c r="A20" s="18"/>
      <c r="B20" s="14"/>
      <c r="C20" s="7"/>
      <c r="D20" s="164"/>
      <c r="E20" s="165"/>
      <c r="F20" s="165"/>
      <c r="G20" s="165"/>
      <c r="H20" s="165"/>
      <c r="I20" s="165"/>
      <c r="J20" s="165"/>
      <c r="K20" s="165"/>
      <c r="L20" s="166"/>
      <c r="M20" s="18"/>
    </row>
    <row r="21" spans="1:19" ht="6.75" customHeight="1" thickTop="1" x14ac:dyDescent="0.25">
      <c r="A21" s="18"/>
      <c r="B21" s="20"/>
      <c r="C21" s="18"/>
      <c r="D21" s="18"/>
      <c r="E21" s="18"/>
      <c r="F21" s="18"/>
      <c r="G21" s="18"/>
      <c r="H21" s="18"/>
      <c r="I21" s="18"/>
      <c r="J21" s="18"/>
      <c r="K21" s="18"/>
      <c r="L21" s="18"/>
      <c r="M21" s="18"/>
    </row>
    <row r="22" spans="1:19" ht="12" customHeight="1" x14ac:dyDescent="0.25">
      <c r="B22" s="13"/>
    </row>
    <row r="23" spans="1:19" ht="15.75" thickBot="1" x14ac:dyDescent="0.3">
      <c r="A23" s="18"/>
      <c r="B23" s="19" t="s">
        <v>135</v>
      </c>
      <c r="C23" s="18"/>
      <c r="D23" s="18"/>
      <c r="E23" s="18"/>
      <c r="F23" s="18"/>
      <c r="G23" s="18"/>
      <c r="H23" s="18"/>
      <c r="I23" s="18"/>
      <c r="J23" s="18"/>
      <c r="K23" s="18"/>
      <c r="L23" s="18"/>
      <c r="M23" s="18"/>
      <c r="O23" s="44" t="b">
        <v>0</v>
      </c>
      <c r="P23" s="36">
        <f>IF(O23,IF(S23,1.6,1.35),IF(S23,1.1,1))</f>
        <v>1</v>
      </c>
      <c r="Q23">
        <v>0</v>
      </c>
      <c r="R23">
        <v>0</v>
      </c>
      <c r="S23" t="b">
        <v>0</v>
      </c>
    </row>
    <row r="24" spans="1:19" ht="40.5" customHeight="1" thickTop="1" thickBot="1" x14ac:dyDescent="0.3">
      <c r="A24" s="18"/>
      <c r="B24" s="14" t="s">
        <v>136</v>
      </c>
      <c r="C24" s="7" t="s">
        <v>143</v>
      </c>
      <c r="D24" s="5" t="s">
        <v>2</v>
      </c>
      <c r="E24" s="5" t="s">
        <v>2</v>
      </c>
      <c r="F24" s="5" t="s">
        <v>2</v>
      </c>
      <c r="G24" s="5" t="s">
        <v>2</v>
      </c>
      <c r="H24" s="5" t="s">
        <v>2</v>
      </c>
      <c r="I24" s="5" t="s">
        <v>2</v>
      </c>
      <c r="J24" s="5" t="s">
        <v>2</v>
      </c>
      <c r="K24" s="5" t="s">
        <v>2</v>
      </c>
      <c r="L24" s="5" t="s">
        <v>2</v>
      </c>
      <c r="M24" s="18"/>
    </row>
    <row r="25" spans="1:19" ht="15.75" customHeight="1" thickTop="1" x14ac:dyDescent="0.25">
      <c r="A25" s="18"/>
      <c r="B25" s="87"/>
      <c r="C25" s="88"/>
      <c r="D25" s="89"/>
      <c r="E25" s="89"/>
      <c r="F25" s="89"/>
      <c r="G25" s="89"/>
      <c r="H25" s="89"/>
      <c r="I25" s="89"/>
      <c r="J25" s="89"/>
      <c r="K25" s="89"/>
      <c r="L25" s="89"/>
      <c r="M25" s="18"/>
    </row>
    <row r="26" spans="1:19" ht="9.75" customHeight="1" x14ac:dyDescent="0.25"/>
    <row r="27" spans="1:19" ht="15.75" thickBot="1" x14ac:dyDescent="0.3">
      <c r="A27" s="18"/>
      <c r="B27" s="19" t="s">
        <v>101</v>
      </c>
      <c r="C27" s="18"/>
      <c r="D27" s="29" t="s">
        <v>34</v>
      </c>
      <c r="E27" s="29"/>
      <c r="F27" s="18"/>
      <c r="G27" s="18"/>
      <c r="H27" s="18"/>
      <c r="I27" s="18"/>
      <c r="J27" s="18"/>
      <c r="K27" s="18"/>
      <c r="L27" s="29" t="s">
        <v>73</v>
      </c>
      <c r="M27" s="18"/>
    </row>
    <row r="28" spans="1:19" ht="35.25" thickTop="1" thickBot="1" x14ac:dyDescent="0.3">
      <c r="A28" s="18"/>
      <c r="B28" s="14" t="str">
        <f>IF($S$23,IF($O$23,"DLMC.S.N3.x.36M247","DLMC.S.N3.x.12M247"),IF($O$23,"DLMC.S.N3.x.36M","DLMC.S.N3.x.z"))</f>
        <v>DLMC.S.N3.x.z</v>
      </c>
      <c r="C28" s="7" t="s">
        <v>82</v>
      </c>
      <c r="D28" s="5">
        <f>$P$23*10000</f>
        <v>10000</v>
      </c>
      <c r="E28" s="5">
        <f>$P$23*25000</f>
        <v>25000</v>
      </c>
      <c r="F28" s="5">
        <f>$P$23*50000</f>
        <v>50000</v>
      </c>
      <c r="G28" s="5">
        <f>$P$23*112000</f>
        <v>112000</v>
      </c>
      <c r="H28" s="5">
        <f>$P$23*220000</f>
        <v>220000</v>
      </c>
      <c r="I28" s="5">
        <f>$P$23*320000</f>
        <v>320000</v>
      </c>
      <c r="J28" s="5">
        <f>$P$23*420000</f>
        <v>420000</v>
      </c>
      <c r="K28" s="5">
        <f>$P$23*495000</f>
        <v>495000</v>
      </c>
      <c r="L28" s="5">
        <f>$P$23*920000</f>
        <v>920000</v>
      </c>
      <c r="M28" s="18"/>
    </row>
    <row r="29" spans="1:19" ht="20.45" customHeight="1" thickTop="1" x14ac:dyDescent="0.25">
      <c r="A29" s="18"/>
      <c r="B29" s="20"/>
      <c r="C29" s="18"/>
      <c r="D29" s="18"/>
      <c r="E29" s="18"/>
      <c r="F29" s="18"/>
      <c r="G29" s="18"/>
      <c r="H29" s="18"/>
      <c r="I29" s="18"/>
      <c r="J29" s="18"/>
      <c r="K29" s="18"/>
      <c r="L29" s="18"/>
      <c r="M29" s="18"/>
    </row>
    <row r="33" spans="1:13" ht="73.5" customHeight="1" x14ac:dyDescent="0.25"/>
    <row r="34" spans="1:13" x14ac:dyDescent="0.25">
      <c r="A34" s="16"/>
      <c r="B34" s="17" t="s">
        <v>33</v>
      </c>
      <c r="C34" s="16"/>
      <c r="D34" s="16"/>
      <c r="E34" s="16"/>
      <c r="F34" s="16"/>
      <c r="G34" s="16"/>
      <c r="H34" s="16"/>
      <c r="I34" s="16"/>
      <c r="J34" s="16"/>
      <c r="K34" s="16"/>
      <c r="L34" s="16"/>
      <c r="M34" s="16"/>
    </row>
  </sheetData>
  <mergeCells count="5">
    <mergeCell ref="B4:B5"/>
    <mergeCell ref="C4:C5"/>
    <mergeCell ref="D4:L4"/>
    <mergeCell ref="D20:L20"/>
    <mergeCell ref="D19:L19"/>
  </mergeCells>
  <conditionalFormatting sqref="A7:L7 M7:M13 A8:A13 A15 M15:M16 A16:L16">
    <cfRule type="expression" dxfId="22" priority="3">
      <formula>$P$7&lt;&gt;1</formula>
    </cfRule>
  </conditionalFormatting>
  <conditionalFormatting sqref="A27:L27 M27:M28 A28 A29:M29">
    <cfRule type="expression" dxfId="21" priority="4">
      <formula>$P$23&gt;1</formula>
    </cfRule>
  </conditionalFormatting>
  <conditionalFormatting sqref="A14:M14">
    <cfRule type="expression" dxfId="20" priority="1">
      <formula>$P$7&lt;&gt;1</formula>
    </cfRule>
  </conditionalFormatting>
  <pageMargins left="0.62992125984251968" right="0.23622047244094491" top="0.35433070866141736" bottom="0.35433070866141736" header="0.31496062992125984" footer="0.31496062992125984"/>
  <pageSetup paperSize="9" scale="4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1</xdr:col>
                    <xdr:colOff>85725</xdr:colOff>
                    <xdr:row>8</xdr:row>
                    <xdr:rowOff>47625</xdr:rowOff>
                  </from>
                  <to>
                    <xdr:col>1</xdr:col>
                    <xdr:colOff>276225</xdr:colOff>
                    <xdr:row>8</xdr:row>
                    <xdr:rowOff>428625</xdr:rowOff>
                  </to>
                </anchor>
              </controlPr>
            </control>
          </mc:Choice>
        </mc:AlternateContent>
        <mc:AlternateContent xmlns:mc="http://schemas.openxmlformats.org/markup-compatibility/2006">
          <mc:Choice Requires="x14">
            <control shapeId="5126" r:id="rId5" name="Check Box 6">
              <controlPr defaultSize="0" autoFill="0" autoLine="0" autoPict="0">
                <anchor moveWithCells="1">
                  <from>
                    <xdr:col>1</xdr:col>
                    <xdr:colOff>85725</xdr:colOff>
                    <xdr:row>10</xdr:row>
                    <xdr:rowOff>66675</xdr:rowOff>
                  </from>
                  <to>
                    <xdr:col>1</xdr:col>
                    <xdr:colOff>276225</xdr:colOff>
                    <xdr:row>10</xdr:row>
                    <xdr:rowOff>447675</xdr:rowOff>
                  </to>
                </anchor>
              </controlPr>
            </control>
          </mc:Choice>
        </mc:AlternateContent>
        <mc:AlternateContent xmlns:mc="http://schemas.openxmlformats.org/markup-compatibility/2006">
          <mc:Choice Requires="x14">
            <control shapeId="5127" r:id="rId6" name="Check Box 7">
              <controlPr defaultSize="0" autoFill="0" autoLine="0" autoPict="0">
                <anchor moveWithCells="1">
                  <from>
                    <xdr:col>1</xdr:col>
                    <xdr:colOff>85725</xdr:colOff>
                    <xdr:row>11</xdr:row>
                    <xdr:rowOff>66675</xdr:rowOff>
                  </from>
                  <to>
                    <xdr:col>1</xdr:col>
                    <xdr:colOff>276225</xdr:colOff>
                    <xdr:row>11</xdr:row>
                    <xdr:rowOff>447675</xdr:rowOff>
                  </to>
                </anchor>
              </controlPr>
            </control>
          </mc:Choice>
        </mc:AlternateContent>
        <mc:AlternateContent xmlns:mc="http://schemas.openxmlformats.org/markup-compatibility/2006">
          <mc:Choice Requires="x14">
            <control shapeId="5136" r:id="rId7" name="Check Box 16">
              <controlPr defaultSize="0" autoFill="0" autoLine="0" autoPict="0">
                <anchor moveWithCells="1">
                  <from>
                    <xdr:col>2</xdr:col>
                    <xdr:colOff>3495675</xdr:colOff>
                    <xdr:row>25</xdr:row>
                    <xdr:rowOff>95250</xdr:rowOff>
                  </from>
                  <to>
                    <xdr:col>3</xdr:col>
                    <xdr:colOff>66675</xdr:colOff>
                    <xdr:row>27</xdr:row>
                    <xdr:rowOff>19050</xdr:rowOff>
                  </to>
                </anchor>
              </controlPr>
            </control>
          </mc:Choice>
        </mc:AlternateContent>
        <mc:AlternateContent xmlns:mc="http://schemas.openxmlformats.org/markup-compatibility/2006">
          <mc:Choice Requires="x14">
            <control shapeId="5137" r:id="rId8" name="Check Box 17">
              <controlPr defaultSize="0" autoFill="0" autoLine="0" autoPict="0">
                <anchor moveWithCells="1">
                  <from>
                    <xdr:col>10</xdr:col>
                    <xdr:colOff>533400</xdr:colOff>
                    <xdr:row>25</xdr:row>
                    <xdr:rowOff>95250</xdr:rowOff>
                  </from>
                  <to>
                    <xdr:col>11</xdr:col>
                    <xdr:colOff>76200</xdr:colOff>
                    <xdr:row>27</xdr:row>
                    <xdr:rowOff>19050</xdr:rowOff>
                  </to>
                </anchor>
              </controlPr>
            </control>
          </mc:Choice>
        </mc:AlternateContent>
        <mc:AlternateContent xmlns:mc="http://schemas.openxmlformats.org/markup-compatibility/2006">
          <mc:Choice Requires="x14">
            <control shapeId="5148" r:id="rId9" name="Check Box 28">
              <controlPr defaultSize="0" autoFill="0" autoLine="0" autoPict="0">
                <anchor moveWithCells="1">
                  <from>
                    <xdr:col>1</xdr:col>
                    <xdr:colOff>85725</xdr:colOff>
                    <xdr:row>8</xdr:row>
                    <xdr:rowOff>47625</xdr:rowOff>
                  </from>
                  <to>
                    <xdr:col>1</xdr:col>
                    <xdr:colOff>276225</xdr:colOff>
                    <xdr:row>8</xdr:row>
                    <xdr:rowOff>428625</xdr:rowOff>
                  </to>
                </anchor>
              </controlPr>
            </control>
          </mc:Choice>
        </mc:AlternateContent>
        <mc:AlternateContent xmlns:mc="http://schemas.openxmlformats.org/markup-compatibility/2006">
          <mc:Choice Requires="x14">
            <control shapeId="5149" r:id="rId10" name="Check Box 29">
              <controlPr defaultSize="0" autoFill="0" autoLine="0" autoPict="0">
                <anchor moveWithCells="1">
                  <from>
                    <xdr:col>1</xdr:col>
                    <xdr:colOff>85725</xdr:colOff>
                    <xdr:row>9</xdr:row>
                    <xdr:rowOff>171450</xdr:rowOff>
                  </from>
                  <to>
                    <xdr:col>1</xdr:col>
                    <xdr:colOff>276225</xdr:colOff>
                    <xdr:row>9</xdr:row>
                    <xdr:rowOff>552450</xdr:rowOff>
                  </to>
                </anchor>
              </controlPr>
            </control>
          </mc:Choice>
        </mc:AlternateContent>
        <mc:AlternateContent xmlns:mc="http://schemas.openxmlformats.org/markup-compatibility/2006">
          <mc:Choice Requires="x14">
            <control shapeId="5151" r:id="rId11" name="Check Box 31">
              <controlPr defaultSize="0" autoFill="0" autoLine="0" autoPict="0">
                <anchor moveWithCells="1">
                  <from>
                    <xdr:col>1</xdr:col>
                    <xdr:colOff>85725</xdr:colOff>
                    <xdr:row>11</xdr:row>
                    <xdr:rowOff>66675</xdr:rowOff>
                  </from>
                  <to>
                    <xdr:col>1</xdr:col>
                    <xdr:colOff>276225</xdr:colOff>
                    <xdr:row>11</xdr:row>
                    <xdr:rowOff>447675</xdr:rowOff>
                  </to>
                </anchor>
              </controlPr>
            </control>
          </mc:Choice>
        </mc:AlternateContent>
        <mc:AlternateContent xmlns:mc="http://schemas.openxmlformats.org/markup-compatibility/2006">
          <mc:Choice Requires="x14">
            <control shapeId="5155" r:id="rId12" name="Check Box 35">
              <controlPr defaultSize="0" autoFill="0" autoLine="0" autoPict="0">
                <anchor moveWithCells="1">
                  <from>
                    <xdr:col>2</xdr:col>
                    <xdr:colOff>3438525</xdr:colOff>
                    <xdr:row>5</xdr:row>
                    <xdr:rowOff>76200</xdr:rowOff>
                  </from>
                  <to>
                    <xdr:col>2</xdr:col>
                    <xdr:colOff>3657600</xdr:colOff>
                    <xdr:row>7</xdr:row>
                    <xdr:rowOff>9525</xdr:rowOff>
                  </to>
                </anchor>
              </controlPr>
            </control>
          </mc:Choice>
        </mc:AlternateContent>
        <mc:AlternateContent xmlns:mc="http://schemas.openxmlformats.org/markup-compatibility/2006">
          <mc:Choice Requires="x14">
            <control shapeId="5156" r:id="rId13" name="Check Box 36">
              <controlPr defaultSize="0" autoFill="0" autoLine="0" autoPict="0">
                <anchor moveWithCells="1">
                  <from>
                    <xdr:col>10</xdr:col>
                    <xdr:colOff>514350</xdr:colOff>
                    <xdr:row>5</xdr:row>
                    <xdr:rowOff>95250</xdr:rowOff>
                  </from>
                  <to>
                    <xdr:col>11</xdr:col>
                    <xdr:colOff>57150</xdr:colOff>
                    <xdr:row>7</xdr:row>
                    <xdr:rowOff>9525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V34"/>
  <sheetViews>
    <sheetView showGridLines="0" showRowColHeaders="0" zoomScaleNormal="100" workbookViewId="0">
      <selection activeCell="B9" sqref="B9"/>
    </sheetView>
  </sheetViews>
  <sheetFormatPr defaultColWidth="9.140625" defaultRowHeight="15" x14ac:dyDescent="0.25"/>
  <cols>
    <col min="1" max="1" width="2.140625" customWidth="1"/>
    <col min="2" max="2" width="28.7109375" customWidth="1"/>
    <col min="3" max="3" width="61.28515625" customWidth="1"/>
    <col min="4" max="12" width="10.5703125" customWidth="1"/>
    <col min="13" max="13" width="2.42578125" customWidth="1"/>
    <col min="14" max="15" width="0.140625" hidden="1" customWidth="1"/>
    <col min="16" max="16" width="4" hidden="1" customWidth="1"/>
    <col min="17" max="17" width="2" hidden="1" customWidth="1"/>
    <col min="18" max="18" width="0.140625" hidden="1" customWidth="1"/>
    <col min="19" max="19" width="8.5703125" hidden="1" customWidth="1"/>
    <col min="20" max="20" width="0.28515625" hidden="1" customWidth="1"/>
    <col min="21" max="21" width="6.5703125" hidden="1" customWidth="1"/>
    <col min="22" max="22" width="10.28515625" hidden="1" customWidth="1"/>
    <col min="23" max="24" width="11.5703125" customWidth="1"/>
    <col min="25" max="25" width="9.140625" customWidth="1"/>
  </cols>
  <sheetData>
    <row r="2" spans="1:22" ht="85.15" customHeight="1" x14ac:dyDescent="0.25"/>
    <row r="3" spans="1:22" ht="24.6" customHeight="1" thickBot="1" x14ac:dyDescent="0.5">
      <c r="B3" s="34" t="s">
        <v>38</v>
      </c>
      <c r="C3" s="34"/>
      <c r="D3" s="34"/>
      <c r="F3" s="35" t="s">
        <v>62</v>
      </c>
      <c r="H3" s="34"/>
      <c r="I3" s="34"/>
      <c r="J3" s="34"/>
      <c r="K3" s="34"/>
      <c r="L3" s="34"/>
    </row>
    <row r="4" spans="1:22" ht="26.25" customHeight="1" thickTop="1" thickBot="1" x14ac:dyDescent="0.3">
      <c r="B4" s="150" t="s">
        <v>3</v>
      </c>
      <c r="C4" s="152" t="s">
        <v>0</v>
      </c>
      <c r="D4" s="167" t="s">
        <v>74</v>
      </c>
      <c r="E4" s="167"/>
      <c r="F4" s="167"/>
      <c r="G4" s="167"/>
      <c r="H4" s="167"/>
      <c r="I4" s="167"/>
      <c r="J4" s="167"/>
      <c r="K4" s="167"/>
      <c r="L4" s="168"/>
    </row>
    <row r="5" spans="1:22" ht="21.75" customHeight="1" thickTop="1" thickBot="1" x14ac:dyDescent="0.3">
      <c r="B5" s="151"/>
      <c r="C5" s="153"/>
      <c r="D5" s="1" t="s">
        <v>1</v>
      </c>
      <c r="E5" s="1" t="s">
        <v>27</v>
      </c>
      <c r="F5" s="2" t="s">
        <v>28</v>
      </c>
      <c r="G5" s="1" t="s">
        <v>29</v>
      </c>
      <c r="H5" s="2" t="s">
        <v>30</v>
      </c>
      <c r="I5" s="1" t="s">
        <v>31</v>
      </c>
      <c r="J5" s="1" t="s">
        <v>32</v>
      </c>
      <c r="K5" s="1" t="s">
        <v>26</v>
      </c>
      <c r="L5" s="3" t="s">
        <v>25</v>
      </c>
      <c r="N5">
        <v>1.1000000000000001</v>
      </c>
    </row>
    <row r="6" spans="1:22" ht="9.75" customHeight="1" thickTop="1" x14ac:dyDescent="0.25">
      <c r="B6" s="13"/>
    </row>
    <row r="7" spans="1:22" ht="15.75" thickBot="1" x14ac:dyDescent="0.3">
      <c r="A7" s="18"/>
      <c r="B7" s="19" t="s">
        <v>24</v>
      </c>
      <c r="C7" s="18"/>
      <c r="D7" s="29"/>
      <c r="E7" s="29"/>
      <c r="F7" s="18"/>
      <c r="G7" s="18"/>
      <c r="H7" s="18"/>
      <c r="I7" s="18"/>
      <c r="J7" s="18"/>
      <c r="K7" s="18"/>
      <c r="L7" s="29" t="s">
        <v>73</v>
      </c>
      <c r="M7" s="18"/>
      <c r="O7" s="44" t="b">
        <v>0</v>
      </c>
      <c r="P7" s="36">
        <f>IF(O7,IF(S7,1.6,1.35),IF(S7,1.1,1))</f>
        <v>1</v>
      </c>
      <c r="Q7">
        <v>0</v>
      </c>
      <c r="R7">
        <v>0</v>
      </c>
      <c r="S7" t="b">
        <v>0</v>
      </c>
    </row>
    <row r="8" spans="1:22" ht="40.5" customHeight="1" thickTop="1" thickBot="1" x14ac:dyDescent="0.3">
      <c r="A8" s="18"/>
      <c r="B8" s="27" t="str">
        <f>IF($S$7,IF($O$7,"DL80C.C.UADS-ITC.x.36M247","DL80C.C.UADS-ITC.x.36M247"),IF($O$7,"DL80C.C.UADS-ITC.x.36M","DL80C.C.UADS-ITC.x.36M"))</f>
        <v>DL80C.C.UADS-ITC.x.36M</v>
      </c>
      <c r="C8" s="23" t="s">
        <v>217</v>
      </c>
      <c r="D8" s="24">
        <f>$P$7*18600</f>
        <v>18600</v>
      </c>
      <c r="E8" s="24">
        <f>$P$7*18000</f>
        <v>18000</v>
      </c>
      <c r="F8" s="24">
        <f>$P$7*17400</f>
        <v>17400</v>
      </c>
      <c r="G8" s="24">
        <f>$P$7*16700</f>
        <v>16700</v>
      </c>
      <c r="H8" s="24">
        <f>$P$7*16200</f>
        <v>16200</v>
      </c>
      <c r="I8" s="24">
        <f>$P$7*13200</f>
        <v>13200</v>
      </c>
      <c r="J8" s="24">
        <f>$P$7*10700</f>
        <v>10700</v>
      </c>
      <c r="K8" s="24">
        <f>$P$7*9700</f>
        <v>9700</v>
      </c>
      <c r="L8" s="24" t="s">
        <v>2</v>
      </c>
      <c r="M8" s="18"/>
      <c r="O8" s="44"/>
      <c r="Q8">
        <v>1</v>
      </c>
      <c r="R8">
        <v>0.6</v>
      </c>
    </row>
    <row r="9" spans="1:22" ht="40.5" customHeight="1" thickTop="1" thickBot="1" x14ac:dyDescent="0.3">
      <c r="A9" s="18"/>
      <c r="B9" s="28" t="str">
        <f>IF($S$7,IF($O$7,"DL80C.C.FW.x.36M247","DL80C.C.FW.x.36M247"),IF($O$7,"DL80C.C.FW.x.36M","DL80C.C.FW.x.36M"))</f>
        <v>DL80C.C.FW.x.36M</v>
      </c>
      <c r="C9" s="21" t="s">
        <v>218</v>
      </c>
      <c r="D9" s="22">
        <f>$P$7*3100</f>
        <v>3100</v>
      </c>
      <c r="E9" s="22">
        <f>$P$7*3000</f>
        <v>3000</v>
      </c>
      <c r="F9" s="22">
        <f>$P$7*2900</f>
        <v>2900</v>
      </c>
      <c r="G9" s="22">
        <f>$P$7*2700</f>
        <v>2700</v>
      </c>
      <c r="H9" s="22">
        <f>$P$7*2600</f>
        <v>2600</v>
      </c>
      <c r="I9" s="22">
        <f>$P$7*2300</f>
        <v>2300</v>
      </c>
      <c r="J9" s="22">
        <f>$P$7*1800</f>
        <v>1800</v>
      </c>
      <c r="K9" s="22">
        <f>$P$7*1300</f>
        <v>1300</v>
      </c>
      <c r="L9" s="22" t="s">
        <v>2</v>
      </c>
      <c r="M9" s="18"/>
      <c r="O9" s="44" t="b">
        <v>0</v>
      </c>
      <c r="P9">
        <f>IF(O9,1,0)</f>
        <v>0</v>
      </c>
      <c r="Q9">
        <v>2</v>
      </c>
      <c r="R9">
        <v>0.54</v>
      </c>
      <c r="S9" t="s">
        <v>66</v>
      </c>
      <c r="T9" t="str">
        <f>IF($O9,S9,"")</f>
        <v/>
      </c>
      <c r="U9" t="s">
        <v>69</v>
      </c>
      <c r="V9" t="str">
        <f>IF($O9,U9,"")</f>
        <v/>
      </c>
    </row>
    <row r="10" spans="1:22" ht="64.150000000000006" customHeight="1" thickTop="1" thickBot="1" x14ac:dyDescent="0.3">
      <c r="A10" s="18"/>
      <c r="B10" s="15" t="str">
        <f>IF($S$7,IF($O$7,"DL80C.C.IPS.x.36M247","DL80C.C.IPS.x.36M247"),IF($O$7,"DL80C.C.IPS.x.36M","DL80C.C.IPS.x.36M"))</f>
        <v>DL80C.C.IPS.x.36M</v>
      </c>
      <c r="C10" s="7" t="s">
        <v>219</v>
      </c>
      <c r="D10" s="5">
        <f>$P$7*10600</f>
        <v>10600</v>
      </c>
      <c r="E10" s="5">
        <f>$P$7*9000</f>
        <v>9000</v>
      </c>
      <c r="F10" s="5">
        <f>$P$7*8500</f>
        <v>8500</v>
      </c>
      <c r="G10" s="5">
        <f>$P$7*7800</f>
        <v>7800</v>
      </c>
      <c r="H10" s="5">
        <f>$P$7*7600</f>
        <v>7600</v>
      </c>
      <c r="I10" s="5">
        <f>$P$7*6700</f>
        <v>6700</v>
      </c>
      <c r="J10" s="5">
        <f>$P$7*5900</f>
        <v>5900</v>
      </c>
      <c r="K10" s="5">
        <f>$P$7*5500</f>
        <v>5500</v>
      </c>
      <c r="L10" s="5" t="s">
        <v>2</v>
      </c>
      <c r="M10" s="18"/>
      <c r="O10" s="44" t="b">
        <v>0</v>
      </c>
      <c r="P10">
        <f t="shared" ref="P10:P12" si="0">IF(O10,1,0)</f>
        <v>0</v>
      </c>
      <c r="Q10">
        <v>3</v>
      </c>
      <c r="R10">
        <v>0.5</v>
      </c>
      <c r="S10" t="s">
        <v>67</v>
      </c>
      <c r="T10" t="str">
        <f t="shared" ref="T10:V12" si="1">IF($O10,S10,"")</f>
        <v/>
      </c>
      <c r="U10" t="s">
        <v>70</v>
      </c>
      <c r="V10" t="str">
        <f t="shared" si="1"/>
        <v/>
      </c>
    </row>
    <row r="11" spans="1:22" ht="40.5" customHeight="1" thickTop="1" thickBot="1" x14ac:dyDescent="0.3">
      <c r="A11" s="18"/>
      <c r="B11" s="111" t="str">
        <f>IF($S$7,IF($O$7,"DL80C.C.BR.x.36M247","DL80C.C.BR.x.36M247"),IF($O$7,"DL80C.C.BR.x.36M","DL80C.C.BR.x.36M"))</f>
        <v>DL80C.C.BR.x.36M</v>
      </c>
      <c r="C11" s="46" t="s">
        <v>220</v>
      </c>
      <c r="D11" s="48">
        <f>$P$7*2800</f>
        <v>2800</v>
      </c>
      <c r="E11" s="48">
        <f>$P$7*2500</f>
        <v>2500</v>
      </c>
      <c r="F11" s="48">
        <f>$P$7*2400</f>
        <v>2400</v>
      </c>
      <c r="G11" s="48">
        <f>$P$7*2200</f>
        <v>2200</v>
      </c>
      <c r="H11" s="48">
        <f>$P$7*2100</f>
        <v>2100</v>
      </c>
      <c r="I11" s="48">
        <f>$P$7*2000</f>
        <v>2000</v>
      </c>
      <c r="J11" s="48">
        <f>$P$7*1800</f>
        <v>1800</v>
      </c>
      <c r="K11" s="48">
        <f>$P$7*1700</f>
        <v>1700</v>
      </c>
      <c r="L11" s="48" t="s">
        <v>2</v>
      </c>
      <c r="M11" s="18"/>
      <c r="O11" s="44" t="b">
        <v>0</v>
      </c>
      <c r="P11">
        <f t="shared" si="0"/>
        <v>0</v>
      </c>
      <c r="Q11">
        <v>5</v>
      </c>
      <c r="R11">
        <v>0.44999999999999996</v>
      </c>
      <c r="S11" t="s">
        <v>68</v>
      </c>
      <c r="T11" t="str">
        <f t="shared" si="1"/>
        <v/>
      </c>
      <c r="U11" t="s">
        <v>71</v>
      </c>
      <c r="V11" t="str">
        <f t="shared" si="1"/>
        <v/>
      </c>
    </row>
    <row r="12" spans="1:22" ht="40.5" customHeight="1" thickTop="1" thickBot="1" x14ac:dyDescent="0.3">
      <c r="A12" s="18"/>
      <c r="B12" s="92" t="str">
        <f>IF($S$7,IF($O$7,"DL80C.C.ITC2.x.36M247","DL80C.C.ITC2.x.36M247"),IF($O$7,"DL80C.C.ITC2.x.36M","DL80C.C.ITC2.x.36M"))</f>
        <v>DL80C.C.ITC2.x.36M</v>
      </c>
      <c r="C12" s="45" t="s">
        <v>221</v>
      </c>
      <c r="D12" s="10">
        <f>$P$7*2800</f>
        <v>2800</v>
      </c>
      <c r="E12" s="10">
        <f>$P$7*2300</f>
        <v>2300</v>
      </c>
      <c r="F12" s="10">
        <f>$P$7*2400</f>
        <v>2400</v>
      </c>
      <c r="G12" s="10">
        <f>$P$7*2200</f>
        <v>2200</v>
      </c>
      <c r="H12" s="10">
        <f>$P$7*2100</f>
        <v>2100</v>
      </c>
      <c r="I12" s="10">
        <f>$P$7*2000</f>
        <v>2000</v>
      </c>
      <c r="J12" s="10">
        <f>$P$7*1800</f>
        <v>1800</v>
      </c>
      <c r="K12" s="10">
        <f>$P$7*1700</f>
        <v>1700</v>
      </c>
      <c r="L12" s="10" t="s">
        <v>2</v>
      </c>
      <c r="M12" s="18"/>
      <c r="O12" s="44" t="b">
        <v>0</v>
      </c>
      <c r="P12">
        <f t="shared" si="0"/>
        <v>0</v>
      </c>
      <c r="Q12">
        <v>6</v>
      </c>
      <c r="R12">
        <v>0.44999999999999996</v>
      </c>
      <c r="S12" t="s">
        <v>139</v>
      </c>
      <c r="T12" t="str">
        <f t="shared" si="1"/>
        <v/>
      </c>
      <c r="U12" t="s">
        <v>72</v>
      </c>
      <c r="V12" t="str">
        <f t="shared" si="1"/>
        <v/>
      </c>
    </row>
    <row r="13" spans="1:22" ht="42" customHeight="1" thickTop="1" thickBot="1" x14ac:dyDescent="0.3">
      <c r="A13" s="18"/>
      <c r="B13" s="40" t="str">
        <f>IF($S$7,IF($O$7,"DL80C.C.UADS-ITC"&amp;T13&amp;".x.36M247","DL80C.C.UADS-ITC"&amp;T13&amp;".x.36M247"),IF($O$7,"DL80C.C.UADS-ITC"&amp;T13&amp;".x.36M","DL80C.C.UADS-ITC"&amp;T13&amp;".x.36M"))</f>
        <v>DL80C.C.UADS-ITC.x.36M</v>
      </c>
      <c r="C13" s="41" t="str">
        <f>"Dallas Lock 8.0-С (СЗИ НСД, СКН"&amp;V13&amp;").
Право на использование**. Бессрочная лицензия. Гарантийное сопровождение на 3 года."</f>
        <v>Dallas Lock 8.0-С (СЗИ НСД, СКН).
Право на использование**. Бессрочная лицензия. Гарантийное сопровождение на 3 года.</v>
      </c>
      <c r="D13" s="47">
        <f t="shared" ref="D13:K13" si="2">D8+SUMPRODUCT(D9:D12,$P$9:$P$12)</f>
        <v>18600</v>
      </c>
      <c r="E13" s="47">
        <f>E8+SUMPRODUCT(E9:E12,$P$9:$P$12)</f>
        <v>18000</v>
      </c>
      <c r="F13" s="47">
        <f t="shared" si="2"/>
        <v>17400</v>
      </c>
      <c r="G13" s="47">
        <f t="shared" si="2"/>
        <v>16700</v>
      </c>
      <c r="H13" s="47">
        <f t="shared" si="2"/>
        <v>16200</v>
      </c>
      <c r="I13" s="47">
        <f t="shared" si="2"/>
        <v>13200</v>
      </c>
      <c r="J13" s="47">
        <f t="shared" si="2"/>
        <v>10700</v>
      </c>
      <c r="K13" s="47">
        <f t="shared" si="2"/>
        <v>9700</v>
      </c>
      <c r="L13" s="42" t="s">
        <v>2</v>
      </c>
      <c r="M13" s="18"/>
      <c r="T13" t="str">
        <f>IF(CONCATENATE(T9,T10,T11,T12)&lt;&gt;"","-"&amp;LEFT(CONCATENATE(T9,T10,T11,T12),LEN(CONCATENATE(T9,T10,T11,T12))-1),"")</f>
        <v/>
      </c>
      <c r="V13" t="str">
        <f>IF(CONCATENATE(V9,V10,V11,V12)&lt;&gt;"",", "&amp;LEFT(CONCATENATE(V9,V10,V11,V12),LEN(CONCATENATE(V9,V10,V11,V12))-2),"")</f>
        <v/>
      </c>
    </row>
    <row r="14" spans="1:22" ht="12" hidden="1" customHeight="1" thickTop="1" thickBot="1" x14ac:dyDescent="0.3">
      <c r="A14" s="18"/>
      <c r="B14" s="169"/>
      <c r="C14" s="170"/>
      <c r="D14" s="43"/>
      <c r="E14" s="43"/>
      <c r="F14" s="43"/>
      <c r="G14" s="43"/>
      <c r="H14" s="43"/>
      <c r="I14" s="43"/>
      <c r="J14" s="43"/>
      <c r="K14" s="43"/>
      <c r="L14" s="42"/>
      <c r="M14" s="18"/>
    </row>
    <row r="15" spans="1:22" ht="9.75" customHeight="1" thickTop="1" thickBot="1" x14ac:dyDescent="0.3">
      <c r="A15" s="18"/>
      <c r="B15" s="18"/>
      <c r="C15" s="18"/>
      <c r="D15" s="18"/>
      <c r="E15" s="18"/>
      <c r="F15" s="18"/>
      <c r="G15" s="18"/>
      <c r="H15" s="18"/>
      <c r="I15" s="18"/>
      <c r="J15" s="18"/>
      <c r="K15" s="18"/>
      <c r="L15" s="18"/>
      <c r="M15" s="18"/>
      <c r="O15" s="44"/>
      <c r="P15" s="36"/>
    </row>
    <row r="16" spans="1:22" ht="40.5" customHeight="1" thickTop="1" thickBot="1" x14ac:dyDescent="0.3">
      <c r="A16" s="18"/>
      <c r="B16" s="26" t="str">
        <f>IF($S$7,IF($O$7,"DL80.T.х.36M247","DL80.T.х.36M247"),IF($O$7,"DL80.T.х.36M","DL80.T.х.36M"))</f>
        <v>DL80.T.х.36M</v>
      </c>
      <c r="C16" s="8" t="s">
        <v>80</v>
      </c>
      <c r="D16" s="6">
        <f>$P$7*3800</f>
        <v>3800</v>
      </c>
      <c r="E16" s="6">
        <f>$P$7*3500</f>
        <v>3500</v>
      </c>
      <c r="F16" s="6">
        <f>$P$7*3000</f>
        <v>3000</v>
      </c>
      <c r="G16" s="6">
        <f>$P$7*2600</f>
        <v>2600</v>
      </c>
      <c r="H16" s="6">
        <f>$P$7*2300</f>
        <v>2300</v>
      </c>
      <c r="I16" s="6">
        <f>$P$7*2200</f>
        <v>2200</v>
      </c>
      <c r="J16" s="6">
        <f>$P$7*2000</f>
        <v>2000</v>
      </c>
      <c r="K16" s="6" t="s">
        <v>2</v>
      </c>
      <c r="L16" s="6" t="s">
        <v>2</v>
      </c>
      <c r="M16" s="18"/>
    </row>
    <row r="17" spans="1:19" ht="9" customHeight="1" thickTop="1" x14ac:dyDescent="0.25">
      <c r="A17" s="18"/>
      <c r="B17" s="18"/>
      <c r="C17" s="18"/>
      <c r="D17" s="18"/>
      <c r="E17" s="18"/>
      <c r="F17" s="18"/>
      <c r="G17" s="18"/>
      <c r="H17" s="18"/>
      <c r="I17" s="18"/>
      <c r="J17" s="18"/>
      <c r="K17" s="18"/>
      <c r="L17" s="18"/>
      <c r="M17" s="18"/>
    </row>
    <row r="18" spans="1:19" ht="9.75" customHeight="1" x14ac:dyDescent="0.25">
      <c r="B18" s="13"/>
    </row>
    <row r="19" spans="1:19" ht="15.75" thickBot="1" x14ac:dyDescent="0.3">
      <c r="A19" s="18"/>
      <c r="B19" s="19" t="s">
        <v>148</v>
      </c>
      <c r="C19" s="18"/>
      <c r="D19" s="18"/>
      <c r="E19" s="18"/>
      <c r="F19" s="18"/>
      <c r="G19" s="18"/>
      <c r="H19" s="18"/>
      <c r="I19" s="18"/>
      <c r="J19" s="18"/>
      <c r="K19" s="18"/>
      <c r="L19" s="18"/>
      <c r="M19" s="18"/>
    </row>
    <row r="20" spans="1:19" ht="40.5" customHeight="1" thickTop="1" thickBot="1" x14ac:dyDescent="0.3">
      <c r="A20" s="18"/>
      <c r="B20" s="26" t="s">
        <v>6</v>
      </c>
      <c r="C20" s="8" t="s">
        <v>142</v>
      </c>
      <c r="D20" s="161">
        <v>1000</v>
      </c>
      <c r="E20" s="162"/>
      <c r="F20" s="162"/>
      <c r="G20" s="162"/>
      <c r="H20" s="162"/>
      <c r="I20" s="162"/>
      <c r="J20" s="162"/>
      <c r="K20" s="162"/>
      <c r="L20" s="163"/>
      <c r="M20" s="18"/>
    </row>
    <row r="21" spans="1:19" ht="9" customHeight="1" thickTop="1" x14ac:dyDescent="0.25">
      <c r="A21" s="18"/>
      <c r="B21" s="20"/>
      <c r="C21" s="18"/>
      <c r="D21" s="18"/>
      <c r="E21" s="18"/>
      <c r="F21" s="18"/>
      <c r="G21" s="18"/>
      <c r="H21" s="18"/>
      <c r="I21" s="18"/>
      <c r="J21" s="18"/>
      <c r="K21" s="18"/>
      <c r="L21" s="18"/>
      <c r="M21" s="18"/>
    </row>
    <row r="22" spans="1:19" ht="12" customHeight="1" x14ac:dyDescent="0.25">
      <c r="B22" s="13"/>
    </row>
    <row r="23" spans="1:19" ht="15.75" thickBot="1" x14ac:dyDescent="0.3">
      <c r="A23" s="18"/>
      <c r="B23" s="19" t="s">
        <v>135</v>
      </c>
      <c r="C23" s="18"/>
      <c r="D23" s="18"/>
      <c r="E23" s="18"/>
      <c r="F23" s="18"/>
      <c r="G23" s="18"/>
      <c r="H23" s="18"/>
      <c r="I23" s="18"/>
      <c r="J23" s="18"/>
      <c r="K23" s="18"/>
      <c r="L23" s="18"/>
      <c r="M23" s="18"/>
      <c r="O23" s="44" t="b">
        <v>0</v>
      </c>
      <c r="P23" s="36">
        <f>IF(O23,IF(S23,1.6,1.35),IF(S23,1.1,1))</f>
        <v>1</v>
      </c>
      <c r="Q23">
        <v>0</v>
      </c>
      <c r="R23">
        <v>0</v>
      </c>
      <c r="S23" t="b">
        <v>0</v>
      </c>
    </row>
    <row r="24" spans="1:19" ht="40.5" customHeight="1" thickTop="1" thickBot="1" x14ac:dyDescent="0.3">
      <c r="A24" s="18"/>
      <c r="B24" s="14" t="s">
        <v>136</v>
      </c>
      <c r="C24" s="7" t="s">
        <v>144</v>
      </c>
      <c r="D24" s="5" t="s">
        <v>2</v>
      </c>
      <c r="E24" s="5" t="s">
        <v>2</v>
      </c>
      <c r="F24" s="5" t="s">
        <v>2</v>
      </c>
      <c r="G24" s="5" t="s">
        <v>2</v>
      </c>
      <c r="H24" s="5" t="s">
        <v>2</v>
      </c>
      <c r="I24" s="5" t="s">
        <v>2</v>
      </c>
      <c r="J24" s="5" t="s">
        <v>2</v>
      </c>
      <c r="K24" s="5" t="s">
        <v>2</v>
      </c>
      <c r="L24" s="5" t="s">
        <v>2</v>
      </c>
      <c r="M24" s="18"/>
    </row>
    <row r="25" spans="1:19" ht="15.75" customHeight="1" thickTop="1" x14ac:dyDescent="0.25">
      <c r="A25" s="18"/>
      <c r="B25" s="87"/>
      <c r="C25" s="88"/>
      <c r="D25" s="89"/>
      <c r="E25" s="89"/>
      <c r="F25" s="89"/>
      <c r="G25" s="89"/>
      <c r="H25" s="89"/>
      <c r="I25" s="89"/>
      <c r="J25" s="89"/>
      <c r="K25" s="89"/>
      <c r="L25" s="89"/>
      <c r="M25" s="18"/>
    </row>
    <row r="27" spans="1:19" ht="15.75" thickBot="1" x14ac:dyDescent="0.3">
      <c r="A27" s="18"/>
      <c r="B27" s="19" t="s">
        <v>101</v>
      </c>
      <c r="C27" s="18"/>
      <c r="D27" s="29" t="s">
        <v>34</v>
      </c>
      <c r="E27" s="29"/>
      <c r="F27" s="18"/>
      <c r="G27" s="18"/>
      <c r="H27" s="18"/>
      <c r="I27" s="18"/>
      <c r="J27" s="18"/>
      <c r="K27" s="18"/>
      <c r="L27" s="29" t="s">
        <v>73</v>
      </c>
      <c r="M27" s="18"/>
    </row>
    <row r="28" spans="1:19" ht="35.25" thickTop="1" thickBot="1" x14ac:dyDescent="0.3">
      <c r="A28" s="18"/>
      <c r="B28" s="14" t="str">
        <f>IF($S$23,IF($O$23,"DLMC.S.N3.x.36M247","DLMC.S.N3.x.12M247"),IF($O$23,"DLMC.S.N3.x.36M","DLMC.S.N3.x.z"))</f>
        <v>DLMC.S.N3.x.z</v>
      </c>
      <c r="C28" s="7" t="s">
        <v>82</v>
      </c>
      <c r="D28" s="5">
        <f>$P$23*10000</f>
        <v>10000</v>
      </c>
      <c r="E28" s="5">
        <f>$P$23*25000</f>
        <v>25000</v>
      </c>
      <c r="F28" s="5">
        <f>$P$23*50000</f>
        <v>50000</v>
      </c>
      <c r="G28" s="5">
        <f>$P$23*112000</f>
        <v>112000</v>
      </c>
      <c r="H28" s="5">
        <f>$P$23*220000</f>
        <v>220000</v>
      </c>
      <c r="I28" s="5">
        <f>$P$23*320000</f>
        <v>320000</v>
      </c>
      <c r="J28" s="5">
        <f>$P$23*420000</f>
        <v>420000</v>
      </c>
      <c r="K28" s="5">
        <f>$P$23*495000</f>
        <v>495000</v>
      </c>
      <c r="L28" s="5">
        <f>$P$23*920000</f>
        <v>920000</v>
      </c>
      <c r="M28" s="18"/>
    </row>
    <row r="29" spans="1:19" ht="19.899999999999999" customHeight="1" thickTop="1" x14ac:dyDescent="0.25">
      <c r="A29" s="18"/>
      <c r="B29" s="20"/>
      <c r="C29" s="18"/>
      <c r="D29" s="18"/>
      <c r="E29" s="18"/>
      <c r="F29" s="18"/>
      <c r="G29" s="18"/>
      <c r="H29" s="18"/>
      <c r="I29" s="18"/>
      <c r="J29" s="18"/>
      <c r="K29" s="18"/>
      <c r="L29" s="18"/>
      <c r="M29" s="18"/>
    </row>
    <row r="33" spans="1:13" ht="74.45" customHeight="1" x14ac:dyDescent="0.25"/>
    <row r="34" spans="1:13" x14ac:dyDescent="0.25">
      <c r="A34" s="16"/>
      <c r="B34" s="17" t="s">
        <v>33</v>
      </c>
      <c r="C34" s="16"/>
      <c r="D34" s="16"/>
      <c r="E34" s="16"/>
      <c r="F34" s="16"/>
      <c r="G34" s="16"/>
      <c r="H34" s="16"/>
      <c r="I34" s="16"/>
      <c r="J34" s="16"/>
      <c r="K34" s="16"/>
      <c r="L34" s="16"/>
      <c r="M34" s="16"/>
    </row>
  </sheetData>
  <mergeCells count="5">
    <mergeCell ref="D20:L20"/>
    <mergeCell ref="B4:B5"/>
    <mergeCell ref="C4:C5"/>
    <mergeCell ref="D4:L4"/>
    <mergeCell ref="B14:C14"/>
  </mergeCells>
  <conditionalFormatting sqref="A7:M7 A8:A17 M8:M17 A15:M15 A17:M17">
    <cfRule type="expression" dxfId="19" priority="1">
      <formula>$P$7&lt;&gt;1</formula>
    </cfRule>
  </conditionalFormatting>
  <conditionalFormatting sqref="B27:M27 A27:A29 M28 B29:M29">
    <cfRule type="expression" dxfId="18" priority="44">
      <formula>$P$23&gt;1</formula>
    </cfRule>
  </conditionalFormatting>
  <pageMargins left="0.62992125984251968" right="0.23622047244094491" top="0.35433070866141736" bottom="0.35433070866141736" header="0.31496062992125984" footer="0.31496062992125984"/>
  <pageSetup paperSize="9" scale="44" orientation="portrait"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11265" r:id="rId4" name="Check Box 1">
              <controlPr defaultSize="0" autoFill="0" autoLine="0" autoPict="0">
                <anchor moveWithCells="1">
                  <from>
                    <xdr:col>1</xdr:col>
                    <xdr:colOff>85725</xdr:colOff>
                    <xdr:row>8</xdr:row>
                    <xdr:rowOff>47625</xdr:rowOff>
                  </from>
                  <to>
                    <xdr:col>1</xdr:col>
                    <xdr:colOff>276225</xdr:colOff>
                    <xdr:row>8</xdr:row>
                    <xdr:rowOff>428625</xdr:rowOff>
                  </to>
                </anchor>
              </controlPr>
            </control>
          </mc:Choice>
        </mc:AlternateContent>
        <mc:AlternateContent xmlns:mc="http://schemas.openxmlformats.org/markup-compatibility/2006">
          <mc:Choice Requires="x14">
            <control shapeId="11266" r:id="rId5" name="Check Box 2">
              <controlPr defaultSize="0" autoFill="0" autoLine="0" autoPict="0">
                <anchor moveWithCells="1">
                  <from>
                    <xdr:col>1</xdr:col>
                    <xdr:colOff>85725</xdr:colOff>
                    <xdr:row>9</xdr:row>
                    <xdr:rowOff>209550</xdr:rowOff>
                  </from>
                  <to>
                    <xdr:col>1</xdr:col>
                    <xdr:colOff>276225</xdr:colOff>
                    <xdr:row>9</xdr:row>
                    <xdr:rowOff>590550</xdr:rowOff>
                  </to>
                </anchor>
              </controlPr>
            </control>
          </mc:Choice>
        </mc:AlternateContent>
        <mc:AlternateContent xmlns:mc="http://schemas.openxmlformats.org/markup-compatibility/2006">
          <mc:Choice Requires="x14">
            <control shapeId="11267" r:id="rId6" name="Check Box 3">
              <controlPr defaultSize="0" autoFill="0" autoLine="0" autoPict="0">
                <anchor moveWithCells="1">
                  <from>
                    <xdr:col>1</xdr:col>
                    <xdr:colOff>85725</xdr:colOff>
                    <xdr:row>10</xdr:row>
                    <xdr:rowOff>66675</xdr:rowOff>
                  </from>
                  <to>
                    <xdr:col>1</xdr:col>
                    <xdr:colOff>276225</xdr:colOff>
                    <xdr:row>10</xdr:row>
                    <xdr:rowOff>447675</xdr:rowOff>
                  </to>
                </anchor>
              </controlPr>
            </control>
          </mc:Choice>
        </mc:AlternateContent>
        <mc:AlternateContent xmlns:mc="http://schemas.openxmlformats.org/markup-compatibility/2006">
          <mc:Choice Requires="x14">
            <control shapeId="11268" r:id="rId7" name="Check Box 4">
              <controlPr defaultSize="0" autoFill="0" autoLine="0" autoPict="0">
                <anchor moveWithCells="1">
                  <from>
                    <xdr:col>1</xdr:col>
                    <xdr:colOff>85725</xdr:colOff>
                    <xdr:row>11</xdr:row>
                    <xdr:rowOff>66675</xdr:rowOff>
                  </from>
                  <to>
                    <xdr:col>1</xdr:col>
                    <xdr:colOff>276225</xdr:colOff>
                    <xdr:row>11</xdr:row>
                    <xdr:rowOff>447675</xdr:rowOff>
                  </to>
                </anchor>
              </controlPr>
            </control>
          </mc:Choice>
        </mc:AlternateContent>
        <mc:AlternateContent xmlns:mc="http://schemas.openxmlformats.org/markup-compatibility/2006">
          <mc:Choice Requires="x14">
            <control shapeId="11271" r:id="rId8" name="Check Box 7">
              <controlPr defaultSize="0" autoFill="0" autoLine="0" autoPict="0">
                <anchor moveWithCells="1">
                  <from>
                    <xdr:col>10</xdr:col>
                    <xdr:colOff>533400</xdr:colOff>
                    <xdr:row>5</xdr:row>
                    <xdr:rowOff>95250</xdr:rowOff>
                  </from>
                  <to>
                    <xdr:col>11</xdr:col>
                    <xdr:colOff>76200</xdr:colOff>
                    <xdr:row>7</xdr:row>
                    <xdr:rowOff>9525</xdr:rowOff>
                  </to>
                </anchor>
              </controlPr>
            </control>
          </mc:Choice>
        </mc:AlternateContent>
        <mc:AlternateContent xmlns:mc="http://schemas.openxmlformats.org/markup-compatibility/2006">
          <mc:Choice Requires="x14">
            <control shapeId="11272" r:id="rId9" name="Check Box 8">
              <controlPr defaultSize="0" autoFill="0" autoLine="0" autoPict="0">
                <anchor moveWithCells="1">
                  <from>
                    <xdr:col>2</xdr:col>
                    <xdr:colOff>3905250</xdr:colOff>
                    <xdr:row>25</xdr:row>
                    <xdr:rowOff>161925</xdr:rowOff>
                  </from>
                  <to>
                    <xdr:col>3</xdr:col>
                    <xdr:colOff>66675</xdr:colOff>
                    <xdr:row>27</xdr:row>
                    <xdr:rowOff>19050</xdr:rowOff>
                  </to>
                </anchor>
              </controlPr>
            </control>
          </mc:Choice>
        </mc:AlternateContent>
        <mc:AlternateContent xmlns:mc="http://schemas.openxmlformats.org/markup-compatibility/2006">
          <mc:Choice Requires="x14">
            <control shapeId="11273" r:id="rId10" name="Check Box 9">
              <controlPr defaultSize="0" autoFill="0" autoLine="0" autoPict="0">
                <anchor moveWithCells="1">
                  <from>
                    <xdr:col>10</xdr:col>
                    <xdr:colOff>485775</xdr:colOff>
                    <xdr:row>25</xdr:row>
                    <xdr:rowOff>161925</xdr:rowOff>
                  </from>
                  <to>
                    <xdr:col>11</xdr:col>
                    <xdr:colOff>28575</xdr:colOff>
                    <xdr:row>27</xdr:row>
                    <xdr:rowOff>19050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Q51"/>
  <sheetViews>
    <sheetView showGridLines="0" showRowColHeaders="0" topLeftCell="A6" zoomScaleNormal="100" workbookViewId="0">
      <selection activeCell="C6" sqref="C6"/>
    </sheetView>
  </sheetViews>
  <sheetFormatPr defaultColWidth="9.140625" defaultRowHeight="15" x14ac:dyDescent="0.25"/>
  <cols>
    <col min="1" max="1" width="1.28515625" customWidth="1"/>
    <col min="2" max="2" width="25.85546875" customWidth="1"/>
    <col min="3" max="3" width="59.42578125" customWidth="1"/>
    <col min="4" max="12" width="10.5703125" customWidth="1"/>
    <col min="13" max="13" width="1.5703125" customWidth="1"/>
    <col min="14" max="17" width="12.28515625" hidden="1" customWidth="1"/>
    <col min="18" max="18" width="12.28515625" customWidth="1"/>
  </cols>
  <sheetData>
    <row r="2" spans="1:17" ht="85.5" customHeight="1" x14ac:dyDescent="0.25"/>
    <row r="3" spans="1:17" ht="29.25" thickBot="1" x14ac:dyDescent="0.5">
      <c r="B3" s="34" t="s">
        <v>75</v>
      </c>
      <c r="C3" s="34"/>
      <c r="D3" s="34"/>
      <c r="E3" s="35"/>
      <c r="F3" s="72" t="s">
        <v>62</v>
      </c>
      <c r="G3" s="34"/>
      <c r="H3" s="34"/>
      <c r="I3" s="34"/>
      <c r="J3" s="34"/>
      <c r="K3" s="34"/>
      <c r="L3" s="34"/>
    </row>
    <row r="4" spans="1:17" ht="26.25" customHeight="1" thickTop="1" thickBot="1" x14ac:dyDescent="0.3">
      <c r="B4" s="150" t="s">
        <v>3</v>
      </c>
      <c r="C4" s="152" t="s">
        <v>0</v>
      </c>
      <c r="D4" s="171" t="s">
        <v>76</v>
      </c>
      <c r="E4" s="154"/>
      <c r="F4" s="154"/>
      <c r="G4" s="154"/>
      <c r="H4" s="154"/>
      <c r="I4" s="154"/>
      <c r="J4" s="154"/>
      <c r="K4" s="154"/>
      <c r="L4" s="155"/>
    </row>
    <row r="5" spans="1:17" ht="21.75" customHeight="1" thickTop="1" thickBot="1" x14ac:dyDescent="0.3">
      <c r="B5" s="151"/>
      <c r="C5" s="153"/>
      <c r="D5" s="1" t="s">
        <v>1</v>
      </c>
      <c r="E5" s="1" t="s">
        <v>27</v>
      </c>
      <c r="F5" s="2" t="s">
        <v>28</v>
      </c>
      <c r="G5" s="1" t="s">
        <v>29</v>
      </c>
      <c r="H5" s="2" t="s">
        <v>30</v>
      </c>
      <c r="I5" s="1" t="s">
        <v>31</v>
      </c>
      <c r="J5" s="1" t="s">
        <v>32</v>
      </c>
      <c r="K5" s="1" t="s">
        <v>26</v>
      </c>
      <c r="L5" s="3" t="s">
        <v>25</v>
      </c>
      <c r="P5">
        <v>1.1000000000000001</v>
      </c>
    </row>
    <row r="6" spans="1:17" ht="9.75" customHeight="1" thickTop="1" x14ac:dyDescent="0.25">
      <c r="B6" s="13"/>
    </row>
    <row r="7" spans="1:17" ht="15.75" thickBot="1" x14ac:dyDescent="0.3">
      <c r="A7" s="18"/>
      <c r="B7" s="19" t="s">
        <v>24</v>
      </c>
      <c r="C7" s="18"/>
      <c r="D7" s="29" t="s">
        <v>34</v>
      </c>
      <c r="E7" s="29"/>
      <c r="F7" s="18"/>
      <c r="G7" s="18"/>
      <c r="H7" s="18"/>
      <c r="I7" s="18"/>
      <c r="J7" s="18"/>
      <c r="K7" s="18"/>
      <c r="L7" s="29" t="s">
        <v>73</v>
      </c>
      <c r="M7" s="18"/>
      <c r="O7" t="b">
        <v>0</v>
      </c>
      <c r="P7" s="36">
        <f>IF(O7,IF(Q7,1.6,1.35),IF(Q7,1.1,1))</f>
        <v>1</v>
      </c>
      <c r="Q7" t="b">
        <v>0</v>
      </c>
    </row>
    <row r="8" spans="1:17" ht="41.25" customHeight="1" thickTop="1" thickBot="1" x14ac:dyDescent="0.3">
      <c r="A8" s="18"/>
      <c r="B8" s="14" t="str">
        <f>IF($Q$7,IF($O$7,"DLMC.S.N3.x.36M247","DLMC.S.N3.x.12M247"),IF($O$7,"DLMC.S.N3.x.36M","DLMC.S.N3.x.z"))</f>
        <v>DLMC.S.N3.x.z</v>
      </c>
      <c r="C8" s="7" t="s">
        <v>82</v>
      </c>
      <c r="D8" s="5">
        <f>$P$7*10000</f>
        <v>10000</v>
      </c>
      <c r="E8" s="5">
        <f>$P$7*25000</f>
        <v>25000</v>
      </c>
      <c r="F8" s="5">
        <f>$P$7*50000</f>
        <v>50000</v>
      </c>
      <c r="G8" s="5">
        <f>$P$7*112000</f>
        <v>112000</v>
      </c>
      <c r="H8" s="5">
        <f>$P$7*220000</f>
        <v>220000</v>
      </c>
      <c r="I8" s="5">
        <f>$P$7*320000</f>
        <v>320000</v>
      </c>
      <c r="J8" s="5">
        <f>$P$7*420000</f>
        <v>420000</v>
      </c>
      <c r="K8" s="5">
        <f>$P$7*495000</f>
        <v>495000</v>
      </c>
      <c r="L8" s="5">
        <f>$P$7*920000</f>
        <v>920000</v>
      </c>
      <c r="M8" s="18"/>
    </row>
    <row r="9" spans="1:17" ht="41.25" customHeight="1" thickTop="1" thickBot="1" x14ac:dyDescent="0.3">
      <c r="A9" s="18"/>
      <c r="B9" s="26" t="str">
        <f>IF($Q$7,IF($O$7,"DLMC.S.N10.x.36M247","DLMC.S.N10.x.12M247"),IF($O$7,"DLMC.S.N10.x.36M","DLMC.S.N10.x.z"))</f>
        <v>DLMC.S.N10.x.z</v>
      </c>
      <c r="C9" s="8" t="s">
        <v>83</v>
      </c>
      <c r="D9" s="6">
        <f>$P$7*20000</f>
        <v>20000</v>
      </c>
      <c r="E9" s="6">
        <f>$P$7*50000</f>
        <v>50000</v>
      </c>
      <c r="F9" s="6">
        <f>$P$7*75000</f>
        <v>75000</v>
      </c>
      <c r="G9" s="6">
        <f>$P$7*180000</f>
        <v>180000</v>
      </c>
      <c r="H9" s="6">
        <f>$P$7*260000</f>
        <v>260000</v>
      </c>
      <c r="I9" s="6">
        <f>$P$7*350000</f>
        <v>350000</v>
      </c>
      <c r="J9" s="6">
        <f>$P$7*440000</f>
        <v>440000</v>
      </c>
      <c r="K9" s="6">
        <f>$P$7*510000</f>
        <v>510000</v>
      </c>
      <c r="L9" s="6">
        <f>$P$7*960000</f>
        <v>960000</v>
      </c>
      <c r="M9" s="18"/>
    </row>
    <row r="10" spans="1:17" ht="41.25" customHeight="1" thickTop="1" thickBot="1" x14ac:dyDescent="0.3">
      <c r="A10" s="18"/>
      <c r="B10" s="14" t="str">
        <f>IF($Q$7,IF($O$7,"DLMC.S.N25.x.36M247","DLMC.S.N25.x.12M247"),IF($O$7,"DLMC.S.N25.x.36M","DLMC.S.N25.x.z"))</f>
        <v>DLMC.S.N25.x.z</v>
      </c>
      <c r="C10" s="7" t="s">
        <v>84</v>
      </c>
      <c r="D10" s="5">
        <f>$P$7*40000</f>
        <v>40000</v>
      </c>
      <c r="E10" s="5">
        <f>$P$7*100000</f>
        <v>100000</v>
      </c>
      <c r="F10" s="5">
        <f>$P$7*150000</f>
        <v>150000</v>
      </c>
      <c r="G10" s="5">
        <f>$P$7*260000</f>
        <v>260000</v>
      </c>
      <c r="H10" s="5">
        <f>$P$7*340000</f>
        <v>340000</v>
      </c>
      <c r="I10" s="5">
        <f>$P$7*430000</f>
        <v>430000</v>
      </c>
      <c r="J10" s="5">
        <f>$P$7*520000</f>
        <v>520000</v>
      </c>
      <c r="K10" s="5">
        <f>$P$7*590000</f>
        <v>590000</v>
      </c>
      <c r="L10" s="5">
        <f>$P$7*1040000</f>
        <v>1040000</v>
      </c>
      <c r="M10" s="18"/>
    </row>
    <row r="11" spans="1:17" ht="41.25" customHeight="1" thickTop="1" thickBot="1" x14ac:dyDescent="0.3">
      <c r="A11" s="18"/>
      <c r="B11" s="26" t="str">
        <f>IF($Q$7,IF($O$7,"DLMC.S.N50.x.36M247","DLMC.S.N50.x.12M247"),IF($O$7,"DLMC.S.N50.x.36M","DLMC.S.N50.x.z"))</f>
        <v>DLMC.S.N50.x.z</v>
      </c>
      <c r="C11" s="8" t="s">
        <v>85</v>
      </c>
      <c r="D11" s="6">
        <f>$P$7*80000</f>
        <v>80000</v>
      </c>
      <c r="E11" s="6">
        <f>$P$7*200000</f>
        <v>200000</v>
      </c>
      <c r="F11" s="6">
        <f>$P$7*250000</f>
        <v>250000</v>
      </c>
      <c r="G11" s="6">
        <f>$P$7*370000</f>
        <v>370000</v>
      </c>
      <c r="H11" s="6">
        <f>$P$7*450000</f>
        <v>450000</v>
      </c>
      <c r="I11" s="6">
        <f>$P$7*540000</f>
        <v>540000</v>
      </c>
      <c r="J11" s="6">
        <f>$P$7*630000</f>
        <v>630000</v>
      </c>
      <c r="K11" s="6">
        <f>$P$7*700000</f>
        <v>700000</v>
      </c>
      <c r="L11" s="6">
        <f>$P$7*1150000</f>
        <v>1150000</v>
      </c>
      <c r="M11" s="18"/>
    </row>
    <row r="12" spans="1:17" ht="41.25" customHeight="1" thickTop="1" thickBot="1" x14ac:dyDescent="0.3">
      <c r="A12" s="18"/>
      <c r="B12" s="14" t="str">
        <f>IF($Q$7,IF($O$7,"DLMC.S.N100.x.36M247","DLMC.S.N100.x.12M247"),IF($O$7,"DLMC.S.N100.x.36M","DLMC.S.N100.x.z"))</f>
        <v>DLMC.S.N100.x.z</v>
      </c>
      <c r="C12" s="7" t="s">
        <v>86</v>
      </c>
      <c r="D12" s="5">
        <f>$P$7*160000</f>
        <v>160000</v>
      </c>
      <c r="E12" s="5">
        <f>$P$7*300000</f>
        <v>300000</v>
      </c>
      <c r="F12" s="5">
        <f>$P$7*350000</f>
        <v>350000</v>
      </c>
      <c r="G12" s="5">
        <f>$P$7*570000</f>
        <v>570000</v>
      </c>
      <c r="H12" s="5">
        <f>$P$7*650000</f>
        <v>650000</v>
      </c>
      <c r="I12" s="5">
        <f>$P$7*740000</f>
        <v>740000</v>
      </c>
      <c r="J12" s="5">
        <f>$P$7*830000</f>
        <v>830000</v>
      </c>
      <c r="K12" s="5">
        <f>$P$7*900000</f>
        <v>900000</v>
      </c>
      <c r="L12" s="5">
        <f>$P$7*1350000</f>
        <v>1350000</v>
      </c>
      <c r="M12" s="18"/>
    </row>
    <row r="13" spans="1:17" ht="41.25" customHeight="1" thickTop="1" thickBot="1" x14ac:dyDescent="0.3">
      <c r="A13" s="18"/>
      <c r="B13" s="26" t="str">
        <f>IF($Q$7,IF($O$7,"DLMC.S.N500.x.36M247","DLMC.S.N500.x.12M247"),IF($O$7,"DLMC.S.N500.x.36M","DLMC.S.N500.x.z"))</f>
        <v>DLMC.S.N500.x.z</v>
      </c>
      <c r="C13" s="8" t="s">
        <v>87</v>
      </c>
      <c r="D13" s="6">
        <f>$P$7*320000</f>
        <v>320000</v>
      </c>
      <c r="E13" s="6">
        <f>$P$7*600000</f>
        <v>600000</v>
      </c>
      <c r="F13" s="6">
        <f>$P$7*850000</f>
        <v>850000</v>
      </c>
      <c r="G13" s="6">
        <f>$P$7*1250000</f>
        <v>1250000</v>
      </c>
      <c r="H13" s="6">
        <f>$P$7*2350000</f>
        <v>2350000</v>
      </c>
      <c r="I13" s="6">
        <f>$P$7*2440000</f>
        <v>2440000</v>
      </c>
      <c r="J13" s="6">
        <f>$P$7*2530000</f>
        <v>2530000</v>
      </c>
      <c r="K13" s="6">
        <f>$P$7*2600000</f>
        <v>2600000</v>
      </c>
      <c r="L13" s="6">
        <f>$P$7*3050000</f>
        <v>3050000</v>
      </c>
      <c r="M13" s="18"/>
    </row>
    <row r="14" spans="1:17" ht="41.25" customHeight="1" thickTop="1" thickBot="1" x14ac:dyDescent="0.3">
      <c r="A14" s="18"/>
      <c r="B14" s="14" t="str">
        <f>IF($Q$7,IF($O$7,"DLMC.S.N1000.x.36M247","DLMC.S.N1000.x.12M247"),IF($O$7,"DLMC.S.N1000.x.36M","DLMC.S.N1000.x.z"))</f>
        <v>DLMC.S.N1000.x.z</v>
      </c>
      <c r="C14" s="7" t="s">
        <v>88</v>
      </c>
      <c r="D14" s="5">
        <f>$P$7*700000</f>
        <v>700000</v>
      </c>
      <c r="E14" s="5">
        <f>$P$7*850000</f>
        <v>850000</v>
      </c>
      <c r="F14" s="5">
        <f>$P$7*1750000</f>
        <v>1750000</v>
      </c>
      <c r="G14" s="5">
        <f>$P$7*2500000</f>
        <v>2500000</v>
      </c>
      <c r="H14" s="5">
        <f>$P$7*3900000</f>
        <v>3900000</v>
      </c>
      <c r="I14" s="5">
        <f>$P$7*4100000</f>
        <v>4100000</v>
      </c>
      <c r="J14" s="5">
        <f>$P$7*4350000</f>
        <v>4350000</v>
      </c>
      <c r="K14" s="5">
        <f>$P$7*4550000</f>
        <v>4550000</v>
      </c>
      <c r="L14" s="5">
        <f>$P$7*5000000</f>
        <v>5000000</v>
      </c>
      <c r="M14" s="18"/>
    </row>
    <row r="15" spans="1:17" ht="41.25" customHeight="1" thickTop="1" thickBot="1" x14ac:dyDescent="0.3">
      <c r="A15" s="18"/>
      <c r="B15" s="26" t="str">
        <f>IF($Q$7,IF($O$7,"DLMC.S.UNLIM.x.36M247","DLMC.S.UNLIM.x.12M247"),IF($O$7,"DLMC.S.UNLIM.x.36M","DLMC.S.UNLIM.x.z"))</f>
        <v>DLMC.S.UNLIM.x.z</v>
      </c>
      <c r="C15" s="8" t="s">
        <v>89</v>
      </c>
      <c r="D15" s="6" t="s">
        <v>2</v>
      </c>
      <c r="E15" s="6" t="s">
        <v>2</v>
      </c>
      <c r="F15" s="6" t="s">
        <v>2</v>
      </c>
      <c r="G15" s="6" t="s">
        <v>2</v>
      </c>
      <c r="H15" s="6" t="s">
        <v>2</v>
      </c>
      <c r="I15" s="6" t="s">
        <v>2</v>
      </c>
      <c r="J15" s="6" t="s">
        <v>2</v>
      </c>
      <c r="K15" s="6" t="s">
        <v>2</v>
      </c>
      <c r="L15" s="6" t="s">
        <v>2</v>
      </c>
      <c r="M15" s="18"/>
    </row>
    <row r="16" spans="1:17" ht="6.75" customHeight="1" thickTop="1" x14ac:dyDescent="0.25">
      <c r="A16" s="18"/>
      <c r="B16" s="20"/>
      <c r="C16" s="18"/>
      <c r="D16" s="18"/>
      <c r="E16" s="18"/>
      <c r="F16" s="18"/>
      <c r="G16" s="18"/>
      <c r="H16" s="18"/>
      <c r="I16" s="18"/>
      <c r="J16" s="18"/>
      <c r="K16" s="18"/>
      <c r="L16" s="18"/>
      <c r="M16" s="18"/>
    </row>
    <row r="17" spans="1:17" ht="9.75" customHeight="1" x14ac:dyDescent="0.25">
      <c r="B17" s="13"/>
    </row>
    <row r="18" spans="1:17" ht="15.75" thickBot="1" x14ac:dyDescent="0.3">
      <c r="A18" s="18"/>
      <c r="B18" s="19" t="s">
        <v>228</v>
      </c>
      <c r="C18" s="18"/>
      <c r="D18" s="29" t="s">
        <v>34</v>
      </c>
      <c r="E18" s="29"/>
      <c r="F18" s="18"/>
      <c r="G18" s="18"/>
      <c r="H18" s="18"/>
      <c r="I18" s="18"/>
      <c r="J18" s="18"/>
      <c r="K18" s="18"/>
      <c r="L18" s="29" t="s">
        <v>73</v>
      </c>
      <c r="M18" s="18"/>
      <c r="O18" t="b">
        <v>0</v>
      </c>
      <c r="P18" s="36">
        <f>IF(O18,IF(Q18,1.6,1.35),IF(Q18,1.1,1))</f>
        <v>1</v>
      </c>
      <c r="Q18" t="b">
        <v>0</v>
      </c>
    </row>
    <row r="19" spans="1:17" ht="41.25" customHeight="1" thickTop="1" thickBot="1" x14ac:dyDescent="0.3">
      <c r="A19" s="18"/>
      <c r="B19" s="14" t="str">
        <f>IF($Q$18,IF($O$18,"DLМC.C.x.y.36M247","DLМC.C.x.y.12M247"),IF($O$18,"DLМC.C.x.y.36M","DLМC.C.x.y.z"))</f>
        <v>DLМC.C.x.y.z</v>
      </c>
      <c r="C19" s="7" t="s">
        <v>227</v>
      </c>
      <c r="D19" s="5">
        <f>$P$18*1800</f>
        <v>1800</v>
      </c>
      <c r="E19" s="5">
        <f>$P$18*1800</f>
        <v>1800</v>
      </c>
      <c r="F19" s="5">
        <f>$P$18*1800</f>
        <v>1800</v>
      </c>
      <c r="G19" s="5">
        <f>$P$18*1800</f>
        <v>1800</v>
      </c>
      <c r="H19" s="5">
        <f>$P$18*1600</f>
        <v>1600</v>
      </c>
      <c r="I19" s="5">
        <f>$P$18*1600</f>
        <v>1600</v>
      </c>
      <c r="J19" s="5">
        <f>$P$18*1400</f>
        <v>1400</v>
      </c>
      <c r="K19" s="48" t="s">
        <v>2</v>
      </c>
      <c r="L19" s="48" t="s">
        <v>2</v>
      </c>
      <c r="M19" s="18"/>
    </row>
    <row r="20" spans="1:17" ht="6.75" customHeight="1" thickTop="1" x14ac:dyDescent="0.25">
      <c r="A20" s="18"/>
      <c r="B20" s="20"/>
      <c r="C20" s="18"/>
      <c r="D20" s="18"/>
      <c r="E20" s="18"/>
      <c r="F20" s="18"/>
      <c r="G20" s="18"/>
      <c r="H20" s="18"/>
      <c r="I20" s="18"/>
      <c r="J20" s="18"/>
      <c r="K20" s="18"/>
      <c r="L20" s="18"/>
      <c r="M20" s="18"/>
    </row>
    <row r="22" spans="1:17" ht="15.75" thickBot="1" x14ac:dyDescent="0.3">
      <c r="A22" s="18"/>
      <c r="B22" s="19" t="s">
        <v>148</v>
      </c>
      <c r="C22" s="18"/>
      <c r="D22" s="18"/>
      <c r="E22" s="18"/>
      <c r="F22" s="18"/>
      <c r="G22" s="18"/>
      <c r="H22" s="18"/>
      <c r="I22" s="18"/>
      <c r="J22" s="18"/>
      <c r="K22" s="18"/>
      <c r="L22" s="18"/>
      <c r="M22" s="18"/>
    </row>
    <row r="23" spans="1:17" ht="24" thickTop="1" thickBot="1" x14ac:dyDescent="0.3">
      <c r="A23" s="18"/>
      <c r="B23" s="26" t="s">
        <v>5</v>
      </c>
      <c r="C23" s="8" t="s">
        <v>40</v>
      </c>
      <c r="D23" s="82"/>
      <c r="E23" s="83"/>
      <c r="F23" s="83"/>
      <c r="G23" s="83"/>
      <c r="H23" s="83">
        <v>1000</v>
      </c>
      <c r="I23" s="83"/>
      <c r="J23" s="83"/>
      <c r="K23" s="83"/>
      <c r="L23" s="84"/>
      <c r="M23" s="18"/>
    </row>
    <row r="24" spans="1:17" ht="24" thickTop="1" thickBot="1" x14ac:dyDescent="0.3">
      <c r="A24" s="18"/>
      <c r="B24" s="33" t="s">
        <v>6</v>
      </c>
      <c r="C24" s="46" t="s">
        <v>39</v>
      </c>
      <c r="D24" s="85"/>
      <c r="E24" s="86"/>
      <c r="F24" s="86"/>
      <c r="G24" s="86"/>
      <c r="H24" s="86">
        <v>1000</v>
      </c>
      <c r="I24" s="86"/>
      <c r="J24" s="86"/>
      <c r="K24" s="86"/>
      <c r="L24" s="12"/>
      <c r="M24" s="18"/>
    </row>
    <row r="25" spans="1:17" ht="24" thickTop="1" thickBot="1" x14ac:dyDescent="0.3">
      <c r="A25" s="18"/>
      <c r="B25" s="32" t="s">
        <v>8</v>
      </c>
      <c r="C25" s="45" t="s">
        <v>138</v>
      </c>
      <c r="D25" s="147">
        <v>1000</v>
      </c>
      <c r="E25" s="148"/>
      <c r="F25" s="148"/>
      <c r="G25" s="148"/>
      <c r="H25" s="148"/>
      <c r="I25" s="148"/>
      <c r="J25" s="148"/>
      <c r="K25" s="148"/>
      <c r="L25" s="149"/>
      <c r="M25" s="18"/>
    </row>
    <row r="26" spans="1:17" ht="15.75" thickTop="1" x14ac:dyDescent="0.25">
      <c r="A26" s="19"/>
      <c r="B26" s="18"/>
      <c r="C26" s="18"/>
      <c r="D26" s="18"/>
      <c r="E26" s="18"/>
      <c r="F26" s="18"/>
      <c r="G26" s="18"/>
      <c r="H26" s="18"/>
      <c r="I26" s="18"/>
      <c r="J26" s="18"/>
      <c r="K26" s="18"/>
      <c r="L26" s="18"/>
      <c r="M26" s="18"/>
    </row>
    <row r="28" spans="1:17" x14ac:dyDescent="0.25">
      <c r="M28" s="4"/>
    </row>
    <row r="31" spans="1:17" x14ac:dyDescent="0.25">
      <c r="A31" s="17" t="s">
        <v>33</v>
      </c>
      <c r="B31" s="16"/>
      <c r="C31" s="16"/>
      <c r="D31" s="16"/>
      <c r="E31" s="16"/>
      <c r="F31" s="16"/>
      <c r="G31" s="16"/>
      <c r="H31" s="16"/>
      <c r="I31" s="16"/>
      <c r="J31" s="16"/>
      <c r="K31" s="16"/>
      <c r="L31" s="16"/>
      <c r="M31" s="16"/>
    </row>
    <row r="32" spans="1:17" x14ac:dyDescent="0.25">
      <c r="M32" s="4"/>
    </row>
    <row r="33" spans="13:13" x14ac:dyDescent="0.25">
      <c r="M33" s="4"/>
    </row>
    <row r="34" spans="13:13" x14ac:dyDescent="0.25">
      <c r="M34" s="4"/>
    </row>
    <row r="50" spans="1:15" s="11" customFormat="1" x14ac:dyDescent="0.25">
      <c r="A50"/>
      <c r="B50"/>
      <c r="C50"/>
      <c r="D50"/>
      <c r="E50"/>
      <c r="F50"/>
      <c r="G50"/>
      <c r="H50"/>
      <c r="I50"/>
      <c r="J50"/>
      <c r="K50"/>
      <c r="L50"/>
      <c r="M50"/>
      <c r="N50"/>
      <c r="O50"/>
    </row>
    <row r="51" spans="1:15" s="11" customFormat="1" x14ac:dyDescent="0.25">
      <c r="A51"/>
      <c r="B51"/>
      <c r="C51"/>
      <c r="D51"/>
      <c r="E51"/>
      <c r="F51"/>
      <c r="G51"/>
      <c r="H51"/>
      <c r="I51"/>
      <c r="J51"/>
      <c r="K51"/>
      <c r="L51"/>
      <c r="M51"/>
      <c r="N51"/>
      <c r="O51"/>
    </row>
  </sheetData>
  <mergeCells count="4">
    <mergeCell ref="B4:B5"/>
    <mergeCell ref="C4:C5"/>
    <mergeCell ref="D4:L4"/>
    <mergeCell ref="D25:L25"/>
  </mergeCells>
  <conditionalFormatting sqref="A7:M7 A8:A15 M8:M15 A16:M16">
    <cfRule type="expression" dxfId="17" priority="1">
      <formula>$P$7&lt;&gt;1</formula>
    </cfRule>
  </conditionalFormatting>
  <conditionalFormatting sqref="A18:M18 A19 M19 A20:M20">
    <cfRule type="expression" dxfId="16" priority="4">
      <formula>$P$18&gt;1</formula>
    </cfRule>
  </conditionalFormatting>
  <pageMargins left="0.59055118110236227" right="0.39370078740157483" top="0.23622047244094491" bottom="0.23622047244094491" header="0.31496062992125984" footer="0.31496062992125984"/>
  <pageSetup paperSize="9" scale="5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6626" r:id="rId4" name="Check Box 2">
              <controlPr defaultSize="0" autoFill="0" autoLine="0" autoPict="0">
                <anchor moveWithCells="1">
                  <from>
                    <xdr:col>10</xdr:col>
                    <xdr:colOff>533400</xdr:colOff>
                    <xdr:row>5</xdr:row>
                    <xdr:rowOff>95250</xdr:rowOff>
                  </from>
                  <to>
                    <xdr:col>11</xdr:col>
                    <xdr:colOff>76200</xdr:colOff>
                    <xdr:row>7</xdr:row>
                    <xdr:rowOff>9525</xdr:rowOff>
                  </to>
                </anchor>
              </controlPr>
            </control>
          </mc:Choice>
        </mc:AlternateContent>
        <mc:AlternateContent xmlns:mc="http://schemas.openxmlformats.org/markup-compatibility/2006">
          <mc:Choice Requires="x14">
            <control shapeId="26629" r:id="rId5" name="Check Box 5">
              <controlPr defaultSize="0" autoFill="0" autoLine="0" autoPict="0">
                <anchor moveWithCells="1">
                  <from>
                    <xdr:col>2</xdr:col>
                    <xdr:colOff>3743325</xdr:colOff>
                    <xdr:row>16</xdr:row>
                    <xdr:rowOff>85725</xdr:rowOff>
                  </from>
                  <to>
                    <xdr:col>2</xdr:col>
                    <xdr:colOff>3952875</xdr:colOff>
                    <xdr:row>18</xdr:row>
                    <xdr:rowOff>28575</xdr:rowOff>
                  </to>
                </anchor>
              </controlPr>
            </control>
          </mc:Choice>
        </mc:AlternateContent>
        <mc:AlternateContent xmlns:mc="http://schemas.openxmlformats.org/markup-compatibility/2006">
          <mc:Choice Requires="x14">
            <control shapeId="26630" r:id="rId6" name="Check Box 6">
              <controlPr defaultSize="0" autoFill="0" autoLine="0" autoPict="0">
                <anchor moveWithCells="1">
                  <from>
                    <xdr:col>10</xdr:col>
                    <xdr:colOff>514350</xdr:colOff>
                    <xdr:row>16</xdr:row>
                    <xdr:rowOff>95250</xdr:rowOff>
                  </from>
                  <to>
                    <xdr:col>11</xdr:col>
                    <xdr:colOff>57150</xdr:colOff>
                    <xdr:row>18</xdr:row>
                    <xdr:rowOff>9525</xdr:rowOff>
                  </to>
                </anchor>
              </controlPr>
            </control>
          </mc:Choice>
        </mc:AlternateContent>
        <mc:AlternateContent xmlns:mc="http://schemas.openxmlformats.org/markup-compatibility/2006">
          <mc:Choice Requires="x14">
            <control shapeId="26631" r:id="rId7" name="Check Box 7">
              <controlPr defaultSize="0" autoFill="0" autoLine="0" autoPict="0">
                <anchor moveWithCells="1">
                  <from>
                    <xdr:col>2</xdr:col>
                    <xdr:colOff>3762375</xdr:colOff>
                    <xdr:row>5</xdr:row>
                    <xdr:rowOff>76200</xdr:rowOff>
                  </from>
                  <to>
                    <xdr:col>3</xdr:col>
                    <xdr:colOff>0</xdr:colOff>
                    <xdr:row>7</xdr:row>
                    <xdr:rowOff>9525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AX104"/>
  <sheetViews>
    <sheetView showGridLines="0" showRowColHeaders="0" topLeftCell="A14" zoomScaleNormal="100" workbookViewId="0">
      <selection activeCell="Z25" sqref="Z25"/>
    </sheetView>
  </sheetViews>
  <sheetFormatPr defaultColWidth="9.140625" defaultRowHeight="15" x14ac:dyDescent="0.25"/>
  <cols>
    <col min="1" max="1" width="1.28515625" customWidth="1"/>
    <col min="2" max="2" width="32.28515625" customWidth="1"/>
    <col min="3" max="3" width="62.42578125" customWidth="1"/>
    <col min="4" max="4" width="27.42578125" customWidth="1"/>
    <col min="5" max="5" width="27.7109375" customWidth="1"/>
    <col min="6" max="6" width="30.5703125" customWidth="1"/>
    <col min="7" max="7" width="1.85546875" customWidth="1"/>
    <col min="8" max="8" width="11.85546875" customWidth="1"/>
    <col min="9" max="17" width="11.85546875" hidden="1" customWidth="1"/>
    <col min="18" max="21" width="8.5703125" customWidth="1"/>
    <col min="22" max="22" width="9.7109375" customWidth="1"/>
    <col min="23" max="23" width="10.85546875" customWidth="1"/>
    <col min="24" max="24" width="12.140625" customWidth="1"/>
    <col min="25" max="25" width="0.140625" customWidth="1"/>
    <col min="26" max="34" width="9.140625" customWidth="1"/>
    <col min="35" max="35" width="0.5703125" customWidth="1"/>
    <col min="36" max="48" width="9.140625" customWidth="1"/>
    <col min="49" max="49" width="0.42578125" customWidth="1"/>
    <col min="50" max="50" width="9.140625" hidden="1" customWidth="1"/>
    <col min="51" max="51" width="35.42578125" customWidth="1"/>
  </cols>
  <sheetData>
    <row r="2" spans="1:17" ht="85.5" customHeight="1" x14ac:dyDescent="0.25">
      <c r="I2" s="62"/>
      <c r="J2" s="68"/>
      <c r="M2" s="62"/>
    </row>
    <row r="3" spans="1:17" ht="29.25" thickBot="1" x14ac:dyDescent="0.5">
      <c r="B3" s="34" t="s">
        <v>267</v>
      </c>
      <c r="C3" s="34"/>
      <c r="D3" s="34"/>
      <c r="E3" s="72" t="s">
        <v>62</v>
      </c>
      <c r="F3" s="34"/>
      <c r="I3" s="68"/>
      <c r="J3" s="68"/>
    </row>
    <row r="4" spans="1:17" ht="26.25" customHeight="1" thickTop="1" thickBot="1" x14ac:dyDescent="0.3">
      <c r="B4" s="150" t="s">
        <v>3</v>
      </c>
      <c r="C4" s="152" t="s">
        <v>0</v>
      </c>
      <c r="D4" s="154" t="s">
        <v>113</v>
      </c>
      <c r="E4" s="154"/>
      <c r="F4" s="155"/>
      <c r="I4" s="103" t="str">
        <f>IF(I7,".x.3Y",IF(K7,".x.1Y",".x.1Y"))</f>
        <v>.x.1Y</v>
      </c>
      <c r="K4" s="103" t="str">
        <f>IF(K7,"247","")</f>
        <v/>
      </c>
      <c r="N4" t="str">
        <f>IF(N7,"247","")</f>
        <v/>
      </c>
    </row>
    <row r="5" spans="1:17" ht="21.75" customHeight="1" thickTop="1" thickBot="1" x14ac:dyDescent="0.3">
      <c r="B5" s="151"/>
      <c r="C5" s="153"/>
      <c r="D5" s="1" t="s">
        <v>107</v>
      </c>
      <c r="E5" s="1" t="s">
        <v>108</v>
      </c>
      <c r="F5" s="3" t="s">
        <v>110</v>
      </c>
      <c r="I5" s="103" t="str">
        <f>IF(I7," Срочная лицензия на 3 года."," Срочная лицензия на 1 год.")</f>
        <v xml:space="preserve"> Срочная лицензия на 1 год.</v>
      </c>
      <c r="J5" s="104">
        <v>1</v>
      </c>
      <c r="K5" s="103" t="str">
        <f>IF(K7," Сопровождение 24/7.","")</f>
        <v/>
      </c>
      <c r="L5" s="101"/>
      <c r="N5" t="s">
        <v>150</v>
      </c>
    </row>
    <row r="6" spans="1:17" ht="7.5" customHeight="1" thickTop="1" x14ac:dyDescent="0.25">
      <c r="B6" s="13"/>
      <c r="D6" s="64"/>
      <c r="E6" s="64"/>
      <c r="F6" s="64"/>
    </row>
    <row r="7" spans="1:17" ht="15.75" thickBot="1" x14ac:dyDescent="0.3">
      <c r="A7" s="18"/>
      <c r="B7" s="19" t="s">
        <v>116</v>
      </c>
      <c r="C7" s="18"/>
      <c r="D7" s="29" t="s">
        <v>112</v>
      </c>
      <c r="E7" s="29"/>
      <c r="F7" s="29" t="s">
        <v>215</v>
      </c>
      <c r="G7" s="18"/>
      <c r="I7" s="133" t="b">
        <v>0</v>
      </c>
      <c r="J7" s="94">
        <f>J5*IF(I7,IF(K7,L7*L8,L7),IF(K7,L8,1))</f>
        <v>1</v>
      </c>
      <c r="K7" s="65" t="b">
        <v>0</v>
      </c>
      <c r="L7" s="95">
        <v>2.2000000000000002</v>
      </c>
      <c r="M7" s="65"/>
      <c r="N7" s="65"/>
      <c r="O7" s="65"/>
      <c r="P7" s="65"/>
    </row>
    <row r="8" spans="1:17" ht="41.25" customHeight="1" thickTop="1" thickBot="1" x14ac:dyDescent="0.3">
      <c r="A8" s="18"/>
      <c r="B8" s="14" t="str">
        <f>M8&amp;I4&amp;K4</f>
        <v>DLW.S.WAF.x.1Y</v>
      </c>
      <c r="C8" s="7" t="str">
        <f>N5&amp;I5&amp;K5</f>
        <v>Право на использование*** Шлюза безопасности WAF Dallas Lock. Срочная лицензия на 1 год.</v>
      </c>
      <c r="D8" s="5">
        <f>ROUND($J$7*$I$8,-4)</f>
        <v>850000</v>
      </c>
      <c r="E8" s="5">
        <f>ROUND($J$7*$I8*$J8,-4)</f>
        <v>2400000</v>
      </c>
      <c r="F8" s="5">
        <f>ROUND($J$7*$I8*$K8,-4)</f>
        <v>6800000</v>
      </c>
      <c r="G8" s="18"/>
      <c r="I8" s="134">
        <v>850000</v>
      </c>
      <c r="J8" s="96">
        <v>2.8235294117646998</v>
      </c>
      <c r="K8" s="96">
        <v>8</v>
      </c>
      <c r="L8" s="95">
        <v>1.1000000000000001</v>
      </c>
      <c r="M8" s="65" t="s">
        <v>151</v>
      </c>
      <c r="N8" s="65" t="str">
        <f>IF(P8,""," Базовая комплектация.")</f>
        <v xml:space="preserve"> Базовая комплектация.</v>
      </c>
      <c r="O8" s="65"/>
      <c r="P8" s="65" t="b">
        <f>P9</f>
        <v>0</v>
      </c>
    </row>
    <row r="9" spans="1:17" ht="41.25" customHeight="1" thickTop="1" thickBot="1" x14ac:dyDescent="0.3">
      <c r="A9" s="18"/>
      <c r="B9" s="97" t="str">
        <f>M9&amp;I4&amp;K4</f>
        <v>DLW.S.WAF-UTM.x.1Y</v>
      </c>
      <c r="C9" s="8" t="str">
        <f>CONCATENATE(N5," Расширенная комплектация с МЭ/СОВ****."&amp;I5&amp;K5)</f>
        <v>Право на использование*** Шлюза безопасности WAF Dallas Lock. Расширенная комплектация с МЭ/СОВ****. Срочная лицензия на 1 год.</v>
      </c>
      <c r="D9" s="10">
        <f>ROUND($J$7*$I$9,-4)</f>
        <v>150000</v>
      </c>
      <c r="E9" s="10">
        <f>ROUND($J$7*$I9*$J9,-4)</f>
        <v>420000</v>
      </c>
      <c r="F9" s="10">
        <f>ROUND($J$7*$I9*$K9,-4)</f>
        <v>900000</v>
      </c>
      <c r="G9" s="18"/>
      <c r="I9" s="134">
        <v>150000</v>
      </c>
      <c r="J9" s="96">
        <v>2.8</v>
      </c>
      <c r="K9" s="96">
        <v>6</v>
      </c>
      <c r="L9" s="65">
        <f>IF(P9,1,0)</f>
        <v>0</v>
      </c>
      <c r="M9" s="65" t="s">
        <v>152</v>
      </c>
      <c r="N9" s="65" t="str">
        <f>IF(P9," Расширенная комплектация с МЭ/СОВ.","")</f>
        <v/>
      </c>
      <c r="O9" s="65" t="str">
        <f>IF(P9,"-UTM","")</f>
        <v/>
      </c>
      <c r="P9" s="65" t="b">
        <v>0</v>
      </c>
      <c r="Q9" t="s">
        <v>162</v>
      </c>
    </row>
    <row r="10" spans="1:17" ht="41.25" customHeight="1" thickTop="1" thickBot="1" x14ac:dyDescent="0.3">
      <c r="A10" s="18"/>
      <c r="B10" s="98" t="str">
        <f>M10&amp;I4&amp;K4</f>
        <v>DLW.S.WAF.CLA.x.1Y</v>
      </c>
      <c r="C10" s="7" t="str">
        <f>CONCATENATE(N5," Активный узел для построения отказоустойчивого кластера."&amp;I5&amp;K5)</f>
        <v>Право на использование*** Шлюза безопасности WAF Dallas Lock. Активный узел для построения отказоустойчивого кластера. Срочная лицензия на 1 год.</v>
      </c>
      <c r="D10" s="5">
        <f>ROUND($J$7*$I$10,-4)</f>
        <v>180000</v>
      </c>
      <c r="E10" s="5">
        <f>ROUND($J$7*$I10*$J10,-4)</f>
        <v>300000</v>
      </c>
      <c r="F10" s="5">
        <f>ROUND($J$7*$I10*$K10,-4)</f>
        <v>500000</v>
      </c>
      <c r="G10" s="18">
        <v>0</v>
      </c>
      <c r="I10" s="134">
        <v>180000</v>
      </c>
      <c r="J10" s="96">
        <v>1.6666666666666667</v>
      </c>
      <c r="K10" s="108">
        <v>2.7777777777777777</v>
      </c>
      <c r="L10" s="65">
        <f>IF(P10,1,0)</f>
        <v>0</v>
      </c>
      <c r="M10" s="65" t="s">
        <v>157</v>
      </c>
      <c r="N10" s="65" t="str">
        <f>IF(P10," Активный узел для построения отказоустойчивого кластера.","")</f>
        <v/>
      </c>
      <c r="O10" s="65" t="str">
        <f>IF(P10,".CLA","")</f>
        <v/>
      </c>
      <c r="P10" s="65" t="b">
        <v>0</v>
      </c>
    </row>
    <row r="11" spans="1:17" ht="53.45" customHeight="1" thickTop="1" thickBot="1" x14ac:dyDescent="0.3">
      <c r="A11" s="18"/>
      <c r="B11" s="40" t="str">
        <f>M11&amp;O9&amp;O10&amp;I4&amp;K4</f>
        <v>DLW.S.WAF.x.1Y</v>
      </c>
      <c r="C11" s="41" t="str">
        <f>N11</f>
        <v>Право на использование*** Шлюза безопасности WAF Dallas Lock. Базовая комплектация. Срочная лицензия на 1 год.</v>
      </c>
      <c r="D11" s="47">
        <f>ROUND((I8+SUMPRODUCT(I9:I10,L9:L10))*$J$5*$J$7,-4)</f>
        <v>850000</v>
      </c>
      <c r="E11" s="47">
        <f>ROUND((I8*J8+SUMPRODUCT(I9:I10,L9:L10,J9:J10))*$J$5*$J$7,-4)</f>
        <v>2400000</v>
      </c>
      <c r="F11" s="99">
        <f>ROUND((I8*K8+SUMPRODUCT(I9:I10,L9:L10,K9:K10))*$J$5*$J$7,-4)</f>
        <v>6800000</v>
      </c>
      <c r="G11" s="18"/>
      <c r="I11" s="133"/>
      <c r="J11" s="65"/>
      <c r="K11" s="65"/>
      <c r="L11" s="65"/>
      <c r="M11" s="65" t="s">
        <v>151</v>
      </c>
      <c r="N11" s="65" t="str">
        <f>N5&amp;N8&amp;N9&amp;N10&amp;I5&amp;K5</f>
        <v>Право на использование*** Шлюза безопасности WAF Dallas Lock. Базовая комплектация. Срочная лицензия на 1 год.</v>
      </c>
      <c r="O11" s="65"/>
      <c r="P11" s="65"/>
    </row>
    <row r="12" spans="1:17" ht="41.25" customHeight="1" thickTop="1" thickBot="1" x14ac:dyDescent="0.3">
      <c r="A12" s="18"/>
      <c r="B12" s="14" t="str">
        <f>M8&amp;".CLP"&amp;I4&amp;K4</f>
        <v>DLW.S.WAF.CLP.x.1Y</v>
      </c>
      <c r="C12" s="7" t="str">
        <f>N5&amp;Q12&amp;I5&amp;K5</f>
        <v>Право на использование*** Шлюза безопасности WAF Dallas Lock. Резервный узел для построения отказоустойчивого кластера. Срочная лицензия на 1 год.</v>
      </c>
      <c r="D12" s="5">
        <f>ROUND($J$7*I12,-4)</f>
        <v>650000</v>
      </c>
      <c r="E12" s="5">
        <f>ROUND($J$7*$I12*$J12,-4)</f>
        <v>780000</v>
      </c>
      <c r="F12" s="5">
        <f>ROUND($J$7*$I12*$K12,-4)</f>
        <v>980000</v>
      </c>
      <c r="G12" s="18"/>
      <c r="I12" s="134">
        <v>650000</v>
      </c>
      <c r="J12" s="96">
        <v>1.2000000000000079</v>
      </c>
      <c r="K12" s="96">
        <v>1.5076923076923077</v>
      </c>
      <c r="L12" s="65"/>
      <c r="M12" s="65" t="s">
        <v>158</v>
      </c>
      <c r="O12" s="65"/>
      <c r="P12" s="65"/>
      <c r="Q12" s="65" t="s">
        <v>153</v>
      </c>
    </row>
    <row r="13" spans="1:17" ht="55.15" customHeight="1" thickTop="1" thickBot="1" x14ac:dyDescent="0.3">
      <c r="A13" s="18"/>
      <c r="B13" s="100" t="str">
        <f>M13&amp;I4&amp;K4</f>
        <v>DLW.S.WAF-UTM.CLP.x.1Y</v>
      </c>
      <c r="C13" s="45" t="str">
        <f>N5&amp;Q9&amp;Q12&amp;I5&amp;K5</f>
        <v>Право на использование*** Шлюза безопасности WAF Dallas Lock. Расширенная комплектация с МЭ/СОВ****. Резервный узел для построения отказоустойчивого кластера. Срочная лицензия на 1 год.</v>
      </c>
      <c r="D13" s="10">
        <f>ROUND($J$7*I13,-4)</f>
        <v>150000</v>
      </c>
      <c r="E13" s="10">
        <f>ROUND($J$7*$I13*$J13,-4)</f>
        <v>420000</v>
      </c>
      <c r="F13" s="10">
        <f>ROUND($J$7*$I13*$K13,-4)</f>
        <v>900000</v>
      </c>
      <c r="G13" s="18"/>
      <c r="I13" s="134">
        <v>150000</v>
      </c>
      <c r="J13" s="96">
        <v>2.8</v>
      </c>
      <c r="K13" s="96">
        <v>6</v>
      </c>
      <c r="L13" s="65">
        <f>IF(P13,1,0)</f>
        <v>0</v>
      </c>
      <c r="M13" s="65" t="s">
        <v>154</v>
      </c>
      <c r="N13" s="65" t="str">
        <f>IF(P13," Расширенная комплектация с МЭ/СОВ.","")</f>
        <v/>
      </c>
      <c r="O13" s="65" t="str">
        <f>IF(P13,"-UTM","")</f>
        <v/>
      </c>
      <c r="P13" s="65" t="b">
        <v>0</v>
      </c>
      <c r="Q13" s="65"/>
    </row>
    <row r="14" spans="1:17" ht="59.45" customHeight="1" thickTop="1" thickBot="1" x14ac:dyDescent="0.3">
      <c r="A14" s="18"/>
      <c r="B14" s="40" t="str">
        <f>M14&amp;O13&amp;".CLP"&amp;I4&amp;K4</f>
        <v>DLW.S.WAF.CLP.x.1Y</v>
      </c>
      <c r="C14" s="41" t="str">
        <f>N14</f>
        <v>Право на использование*** Шлюза безопасности WAF Dallas Lock. Резервный узел для построения отказоустойчивого кластера. Срочная лицензия на 1 год.</v>
      </c>
      <c r="D14" s="47">
        <f>ROUND((I12+SUMPRODUCT(I13,L13))*$J$5*$J$7,-4)</f>
        <v>650000</v>
      </c>
      <c r="E14" s="47">
        <f>ROUND((I12*J12+SUMPRODUCT(I13,L13,J13))*$J$5*$J$7,-4)</f>
        <v>780000</v>
      </c>
      <c r="F14" s="99">
        <f>ROUND((I12*K12+SUMPRODUCT(I13,L13,K13))*$J$5*$J$7,-4)</f>
        <v>980000</v>
      </c>
      <c r="G14" s="18"/>
      <c r="I14" s="133"/>
      <c r="J14" s="65"/>
      <c r="K14" s="65"/>
      <c r="L14" s="65"/>
      <c r="M14" s="65" t="s">
        <v>151</v>
      </c>
      <c r="N14" s="65" t="str">
        <f>N5&amp;N13&amp;Q12&amp;I5&amp;K5</f>
        <v>Право на использование*** Шлюза безопасности WAF Dallas Lock. Резервный узел для построения отказоустойчивого кластера. Срочная лицензия на 1 год.</v>
      </c>
      <c r="O14" s="65"/>
      <c r="P14" s="65"/>
    </row>
    <row r="15" spans="1:17" ht="41.25" customHeight="1" thickTop="1" thickBot="1" x14ac:dyDescent="0.3">
      <c r="A15" s="18"/>
      <c r="B15" s="33" t="str">
        <f>IF($K$7,IF($I$7,$M15&amp;"3Y247",$M15&amp;"1Y247"),IF($I$7,$M15&amp;"3Y",$M15&amp;"y"))</f>
        <v>DLW.S.UTM.x.y</v>
      </c>
      <c r="C15" s="46" t="str">
        <f>IF($K$7,IF($I$7,"Право на использование*** Шлюза безопасности WAF Dallas Lock. Ограниченная комплектация только МЭ/СОВ. Срочная лицензия на 3 года. Сопровождение 24/7.","Право на использование*** Шлюза безопасности WAF Dallas Lock. Ограниченная комплектация только МЭ/СОВ. Срочная лицензия на 1 год. Сопровождение 24/7."),IF($I$7,"Право на использование*** Шлюза безопасности WAF Dallas Lock. Ограниченная комплектация только МЭ/СОВ. Срочная лицензия на 3 года.","Право на использование*** Шлюза безопасности WAF Dallas Lock. Ограниченная комплектация только МЭ/СОВ. Срочная лицензия на 1 год."))</f>
        <v>Право на использование*** Шлюза безопасности WAF Dallas Lock. Ограниченная комплектация только МЭ/СОВ. Срочная лицензия на 1 год.</v>
      </c>
      <c r="D15" s="5">
        <f>ROUND(450000*$J$7,-4)</f>
        <v>450000</v>
      </c>
      <c r="E15" s="5">
        <f>ROUND(1260000*$J$7,-4)</f>
        <v>1260000</v>
      </c>
      <c r="F15" s="5">
        <f>ROUND(2700000*$J$7,-4)</f>
        <v>2700000</v>
      </c>
      <c r="G15" s="18"/>
      <c r="I15" s="105" t="str">
        <f>IF(I18,".x.36M",".x.12М")</f>
        <v>.x.12М</v>
      </c>
      <c r="J15" s="63"/>
      <c r="K15" s="107" t="str">
        <f>IF(K18,"247","")</f>
        <v/>
      </c>
      <c r="M15" t="s">
        <v>120</v>
      </c>
    </row>
    <row r="16" spans="1:17" ht="14.25" customHeight="1" thickTop="1" x14ac:dyDescent="0.25">
      <c r="A16" s="18" t="s">
        <v>155</v>
      </c>
      <c r="B16" s="20"/>
      <c r="C16" s="18"/>
      <c r="D16" s="18"/>
      <c r="E16" s="18"/>
      <c r="F16" s="18"/>
      <c r="G16" s="18"/>
      <c r="I16" s="103" t="str">
        <f>IF(I18," Бессрочная лицензия. Гарантийное сопровождение 3 года."," Бессрочная лицензия.")</f>
        <v xml:space="preserve"> Бессрочная лицензия.</v>
      </c>
      <c r="K16" s="103" t="str">
        <f>IF(K18," Сопровождение 24/7.","")</f>
        <v/>
      </c>
      <c r="N16" t="s">
        <v>216</v>
      </c>
    </row>
    <row r="17" spans="1:17" x14ac:dyDescent="0.25">
      <c r="D17" s="64"/>
      <c r="E17" s="64"/>
      <c r="F17" s="64"/>
      <c r="I17" s="103">
        <v>1</v>
      </c>
      <c r="J17" s="103">
        <v>1</v>
      </c>
      <c r="K17" s="103" t="s">
        <v>2</v>
      </c>
      <c r="L17" s="103"/>
      <c r="M17">
        <f>E9*3</f>
        <v>1260000</v>
      </c>
      <c r="N17">
        <f>F9*3</f>
        <v>2700000</v>
      </c>
    </row>
    <row r="18" spans="1:17" ht="15.75" thickBot="1" x14ac:dyDescent="0.3">
      <c r="A18" s="18"/>
      <c r="B18" s="19" t="s">
        <v>24</v>
      </c>
      <c r="C18" s="18"/>
      <c r="D18" s="29" t="s">
        <v>159</v>
      </c>
      <c r="E18" s="29"/>
      <c r="F18" s="29" t="s">
        <v>111</v>
      </c>
      <c r="G18" s="18"/>
      <c r="I18" s="103" t="b">
        <v>0</v>
      </c>
      <c r="J18" s="106">
        <f>L18*L19</f>
        <v>1</v>
      </c>
      <c r="K18" s="103" t="b">
        <v>0</v>
      </c>
      <c r="L18" s="104">
        <f>IF(I18,1.75,1)</f>
        <v>1</v>
      </c>
    </row>
    <row r="19" spans="1:17" ht="41.25" customHeight="1" thickTop="1" thickBot="1" x14ac:dyDescent="0.3">
      <c r="A19" s="18"/>
      <c r="B19" s="14" t="str">
        <f>M19&amp;I15&amp;K15</f>
        <v>DLW.S.WAF.x.12М</v>
      </c>
      <c r="C19" s="7" t="str">
        <f>N16&amp;I16&amp;K16</f>
        <v>Право на использование*** Шлюза безопасности WAF Dallas Lock. Базовая комплектация. Бессрочная лицензия.</v>
      </c>
      <c r="D19" s="5">
        <f>ROUND(I19*$J$18,-4)</f>
        <v>1000000</v>
      </c>
      <c r="E19" s="5">
        <f>ROUND(I19*J19*$J$18,-4)</f>
        <v>3000000</v>
      </c>
      <c r="F19" s="5">
        <f>ROUND(I19*K19*$J$18,-4)</f>
        <v>8000000</v>
      </c>
      <c r="G19" s="18"/>
      <c r="I19" s="134">
        <v>1000000</v>
      </c>
      <c r="J19" s="96">
        <v>3</v>
      </c>
      <c r="K19" s="96">
        <v>8</v>
      </c>
      <c r="L19" s="95">
        <f>IF(K18,1.1,1)</f>
        <v>1</v>
      </c>
      <c r="M19" s="65" t="s">
        <v>151</v>
      </c>
      <c r="N19" s="65" t="str">
        <f>IF(P19,""," Базовая комплектация.")</f>
        <v xml:space="preserve"> Базовая комплектация.</v>
      </c>
      <c r="O19" s="65"/>
      <c r="P19" s="65" t="b">
        <f>P20</f>
        <v>0</v>
      </c>
    </row>
    <row r="20" spans="1:17" ht="41.25" customHeight="1" thickTop="1" thickBot="1" x14ac:dyDescent="0.3">
      <c r="A20" s="18"/>
      <c r="B20" s="97" t="str">
        <f>M20&amp;I15&amp;K15</f>
        <v>DLW.S.WAF-UTM.x.12М</v>
      </c>
      <c r="C20" s="8" t="str">
        <f>CONCATENATE(N16," Расширенная комплектация с МЭ/СОВ****."&amp;I16&amp;K16)</f>
        <v>Право на использование*** Шлюза безопасности WAF Dallas Lock. Базовая комплектация. Расширенная комплектация с МЭ/СОВ****. Бессрочная лицензия.</v>
      </c>
      <c r="D20" s="10">
        <f>ROUND(I20*$J$18,-4)</f>
        <v>210000</v>
      </c>
      <c r="E20" s="10">
        <f>ROUND(I20*J20*$J$18,-4)</f>
        <v>570000</v>
      </c>
      <c r="F20" s="10">
        <f>ROUND(I20*K20*$J$18,-4)</f>
        <v>1260000</v>
      </c>
      <c r="G20" s="18"/>
      <c r="I20" s="134">
        <v>210000</v>
      </c>
      <c r="J20" s="96">
        <v>2.7142857142857144</v>
      </c>
      <c r="K20" s="96">
        <v>6</v>
      </c>
      <c r="L20" s="65">
        <f>IF(P20,1,0)</f>
        <v>0</v>
      </c>
      <c r="M20" s="65" t="s">
        <v>152</v>
      </c>
      <c r="N20" s="65" t="str">
        <f>IF(P20," Расширенная комплектация с МЭ/СОВ.","")</f>
        <v/>
      </c>
      <c r="O20" s="65" t="str">
        <f>IF(P20,"-UTM","")</f>
        <v/>
      </c>
      <c r="P20" s="65" t="b">
        <v>0</v>
      </c>
      <c r="Q20" t="s">
        <v>162</v>
      </c>
    </row>
    <row r="21" spans="1:17" ht="41.25" customHeight="1" thickTop="1" thickBot="1" x14ac:dyDescent="0.3">
      <c r="A21" s="18"/>
      <c r="B21" s="98" t="str">
        <f>M21&amp;I15&amp;K15</f>
        <v>DLW.S.WAF.CLA.x.12М</v>
      </c>
      <c r="C21" s="7" t="str">
        <f>CONCATENATE(N16," Активный узел для построения отказоустойчивого кластера."&amp;I16&amp;K16)</f>
        <v>Право на использование*** Шлюза безопасности WAF Dallas Lock. Базовая комплектация. Активный узел для построения отказоустойчивого кластера. Бессрочная лицензия.</v>
      </c>
      <c r="D21" s="5">
        <f>ROUND(I21*$J$18,-4)</f>
        <v>200000</v>
      </c>
      <c r="E21" s="5">
        <f>ROUND(I21*J21*$J$18,-4)</f>
        <v>330000</v>
      </c>
      <c r="F21" s="5">
        <f>ROUND(I21*K21*$J$18,-4)</f>
        <v>540000</v>
      </c>
      <c r="G21" s="18"/>
      <c r="I21" s="134">
        <v>200000</v>
      </c>
      <c r="J21" s="96">
        <v>1.65</v>
      </c>
      <c r="K21" s="96">
        <v>2.7</v>
      </c>
      <c r="L21" s="65">
        <f>IF(P21,1,0)</f>
        <v>0</v>
      </c>
      <c r="M21" s="65" t="s">
        <v>157</v>
      </c>
      <c r="N21" s="65" t="str">
        <f>IF(P21," Активный узел для построения отказоустойчивого кластера.","")</f>
        <v/>
      </c>
      <c r="O21" s="65" t="str">
        <f>IF(P21,".CLA","")</f>
        <v/>
      </c>
      <c r="P21" s="65" t="b">
        <v>0</v>
      </c>
    </row>
    <row r="22" spans="1:17" ht="49.9" customHeight="1" thickTop="1" thickBot="1" x14ac:dyDescent="0.3">
      <c r="A22" s="18"/>
      <c r="B22" s="40" t="str">
        <f>M22&amp;O20&amp;O21&amp;I15&amp;K15</f>
        <v>DLW.S.WAF.x.12М</v>
      </c>
      <c r="C22" s="41" t="str">
        <f>N22</f>
        <v>Право на использование*** Шлюза безопасности WAF Dallas Lock. Базовая комплектация. Базовая комплектация. Бессрочная лицензия.</v>
      </c>
      <c r="D22" s="47">
        <f>ROUND((I19+SUMPRODUCT(I20:I21,L20:L21))*$J$17*$J$18,-4)</f>
        <v>1000000</v>
      </c>
      <c r="E22" s="47">
        <f>ROUND((I19*J19+SUMPRODUCT(I20:I21,L20:L21,J20:J21))*$J$17*$J$18,-4)</f>
        <v>3000000</v>
      </c>
      <c r="F22" s="99">
        <f>ROUND((I19*K19+SUMPRODUCT(I20:I21,L20:L21,K20:K21))*$J$17*$J$18,-4)</f>
        <v>8000000</v>
      </c>
      <c r="G22" s="18"/>
      <c r="I22" s="133"/>
      <c r="J22" s="65"/>
      <c r="K22" s="65"/>
      <c r="L22" s="65"/>
      <c r="M22" s="65" t="s">
        <v>151</v>
      </c>
      <c r="N22" s="65" t="str">
        <f>N16&amp;N19&amp;N20&amp;N21&amp;I16&amp;K16</f>
        <v>Право на использование*** Шлюза безопасности WAF Dallas Lock. Базовая комплектация. Базовая комплектация. Бессрочная лицензия.</v>
      </c>
      <c r="O22" s="65"/>
      <c r="P22" s="65"/>
    </row>
    <row r="23" spans="1:17" ht="41.25" customHeight="1" thickTop="1" thickBot="1" x14ac:dyDescent="0.3">
      <c r="A23" s="18"/>
      <c r="B23" s="14" t="str">
        <f>M19&amp;".CLP"&amp;I15&amp;K15</f>
        <v>DLW.S.WAF.CLP.x.12М</v>
      </c>
      <c r="C23" s="7" t="str">
        <f>N16&amp;Q24&amp;I16&amp;K16</f>
        <v>Право на использование*** Шлюза безопасности WAF Dallas Lock. Базовая комплектация. Резервный узел для построения отказоустойчивого кластера. Бессрочная лицензия.</v>
      </c>
      <c r="D23" s="5">
        <f>ROUND(I23*$J$18,-4)</f>
        <v>780000</v>
      </c>
      <c r="E23" s="5">
        <f>ROUND(I23*J23*$J$18,-4)</f>
        <v>870000</v>
      </c>
      <c r="F23" s="5">
        <f>ROUND(I23*K23*$J$18,-4)</f>
        <v>1170000</v>
      </c>
      <c r="G23" s="18"/>
      <c r="I23" s="134">
        <v>780000</v>
      </c>
      <c r="J23" s="96">
        <v>1.1153846153846154</v>
      </c>
      <c r="K23" s="96">
        <v>1.5</v>
      </c>
      <c r="L23" s="65"/>
      <c r="M23" s="65" t="s">
        <v>121</v>
      </c>
    </row>
    <row r="24" spans="1:17" ht="41.25" customHeight="1" thickTop="1" thickBot="1" x14ac:dyDescent="0.3">
      <c r="A24" s="18"/>
      <c r="B24" s="100" t="str">
        <f>M24&amp;I15&amp;K15</f>
        <v>DLW.S.WAF-UTM.CLP.x.12М</v>
      </c>
      <c r="C24" s="45" t="str">
        <f>N16&amp;Q20&amp;Q24&amp;I16&amp;K16</f>
        <v>Право на использование*** Шлюза безопасности WAF Dallas Lock. Базовая комплектация. Расширенная комплектация с МЭ/СОВ****. Резервный узел для построения отказоустойчивого кластера. Бессрочная лицензия.</v>
      </c>
      <c r="D24" s="10">
        <f>ROUND(I24*$J$18,-4)</f>
        <v>210000</v>
      </c>
      <c r="E24" s="10">
        <f>ROUND(I24*J24*$J$18,-4)</f>
        <v>630000</v>
      </c>
      <c r="F24" s="10">
        <f t="shared" ref="F24" si="0">ROUND(I24*K24*$J$18,-4)</f>
        <v>1260000</v>
      </c>
      <c r="G24" s="18"/>
      <c r="I24" s="134">
        <v>210000</v>
      </c>
      <c r="J24" s="96">
        <v>3</v>
      </c>
      <c r="K24" s="96">
        <v>6</v>
      </c>
      <c r="L24" s="65">
        <f>IF(P24,1,0)</f>
        <v>0</v>
      </c>
      <c r="M24" s="65" t="s">
        <v>154</v>
      </c>
      <c r="N24" s="65" t="str">
        <f>IF(P24," Расширенная комплектация с МЭ/СОВ.","")</f>
        <v/>
      </c>
      <c r="O24" s="65" t="str">
        <f>IF(P24,"-UTM","")</f>
        <v/>
      </c>
      <c r="P24" s="65" t="b">
        <v>0</v>
      </c>
      <c r="Q24" s="65" t="s">
        <v>153</v>
      </c>
    </row>
    <row r="25" spans="1:17" ht="51.6" customHeight="1" thickTop="1" thickBot="1" x14ac:dyDescent="0.3">
      <c r="A25" s="18"/>
      <c r="B25" s="40" t="str">
        <f>M22&amp;O24&amp;".CLP"&amp;I15&amp;K15</f>
        <v>DLW.S.WAF.CLP.x.12М</v>
      </c>
      <c r="C25" s="41" t="str">
        <f>N25</f>
        <v>Право на использование*** Шлюза безопасности WAF Dallas Lock. Базовая комплектация. Резервный узел для построения отказоустойчивого кластера. Бессрочная лицензия.</v>
      </c>
      <c r="D25" s="102">
        <f>ROUND((I23+SUMPRODUCT(I24,L24))*$J$17*$J$18,-4)</f>
        <v>780000</v>
      </c>
      <c r="E25" s="47">
        <f>ROUND((I23*J23+I24*J24*L24)*$J$17*$J$18,-4)</f>
        <v>870000</v>
      </c>
      <c r="F25" s="99">
        <f>ROUND((I23*K23+I24*K24*L24)*$J$17*$J$18,-4)</f>
        <v>1170000</v>
      </c>
      <c r="G25" s="18"/>
      <c r="I25" s="133"/>
      <c r="J25" s="65"/>
      <c r="K25" s="65"/>
      <c r="L25" s="65"/>
      <c r="M25" s="65" t="s">
        <v>151</v>
      </c>
      <c r="N25" s="65" t="str">
        <f>N16&amp;N24&amp;Q24&amp;I16&amp;K16</f>
        <v>Право на использование*** Шлюза безопасности WAF Dallas Lock. Базовая комплектация. Резервный узел для построения отказоустойчивого кластера. Бессрочная лицензия.</v>
      </c>
      <c r="O25" s="65"/>
      <c r="P25" s="65"/>
    </row>
    <row r="26" spans="1:17" ht="41.25" customHeight="1" thickTop="1" thickBot="1" x14ac:dyDescent="0.3">
      <c r="A26" s="18"/>
      <c r="B26" s="33" t="str">
        <f>M26&amp;I15&amp;K15</f>
        <v>DLW.S.UTM.x.12М</v>
      </c>
      <c r="C26" s="46" t="str">
        <f>"Право на использование*** Шлюза безопасности WAF Dallas Lock. Ограниченная комплектация только МЭ/СОВ."&amp;I16&amp;K16</f>
        <v>Право на использование*** Шлюза безопасности WAF Dallas Lock. Ограниченная комплектация только МЭ/СОВ. Бессрочная лицензия.</v>
      </c>
      <c r="D26" s="5">
        <f>ROUND(650000*$J$18,-4)</f>
        <v>650000</v>
      </c>
      <c r="E26" s="5">
        <f>ROUND(1710000*$J$18,-4)</f>
        <v>1710000</v>
      </c>
      <c r="F26" s="5">
        <f>ROUND(3780000*$J$18,-4)</f>
        <v>3780000</v>
      </c>
      <c r="G26" s="18"/>
      <c r="I26" s="64">
        <f>SUM(I19:I24)/SUM(I8:I13)</f>
        <v>1.2121212121212122</v>
      </c>
      <c r="J26" s="63"/>
      <c r="K26" s="63"/>
      <c r="M26" t="s">
        <v>156</v>
      </c>
    </row>
    <row r="27" spans="1:17" ht="6.75" customHeight="1" thickTop="1" x14ac:dyDescent="0.25">
      <c r="A27" s="18"/>
      <c r="B27" s="20"/>
      <c r="C27" s="18"/>
      <c r="D27" s="18"/>
      <c r="E27" s="18"/>
      <c r="F27" s="18"/>
      <c r="G27" s="18"/>
    </row>
    <row r="28" spans="1:17" ht="8.4499999999999993" customHeight="1" x14ac:dyDescent="0.25">
      <c r="B28" s="13"/>
    </row>
    <row r="29" spans="1:17" ht="15.75" thickBot="1" x14ac:dyDescent="0.3">
      <c r="A29" s="18"/>
      <c r="B29" s="19" t="s">
        <v>148</v>
      </c>
      <c r="C29" s="18"/>
      <c r="D29" s="18"/>
      <c r="E29" s="18"/>
      <c r="F29" s="18"/>
      <c r="G29" s="18"/>
    </row>
    <row r="30" spans="1:17" ht="41.25" customHeight="1" thickTop="1" thickBot="1" x14ac:dyDescent="0.3">
      <c r="A30" s="18"/>
      <c r="B30" s="14" t="s">
        <v>109</v>
      </c>
      <c r="C30" s="7" t="s">
        <v>161</v>
      </c>
      <c r="D30" s="164">
        <v>1000</v>
      </c>
      <c r="E30" s="165"/>
      <c r="F30" s="166"/>
      <c r="G30" s="18"/>
      <c r="J30" s="64"/>
      <c r="K30" s="64"/>
      <c r="L30" s="64"/>
    </row>
    <row r="31" spans="1:17" ht="6.75" customHeight="1" thickTop="1" x14ac:dyDescent="0.25">
      <c r="A31" s="18"/>
      <c r="B31" s="20"/>
      <c r="C31" s="18"/>
      <c r="D31" s="18"/>
      <c r="E31" s="18"/>
      <c r="F31" s="18"/>
      <c r="G31" s="18"/>
      <c r="J31" s="64"/>
      <c r="K31" s="64"/>
      <c r="L31" s="64"/>
    </row>
    <row r="32" spans="1:17" ht="7.9" customHeight="1" x14ac:dyDescent="0.25">
      <c r="G32" s="4"/>
    </row>
    <row r="33" spans="1:7" ht="17.25" customHeight="1" thickBot="1" x14ac:dyDescent="0.3">
      <c r="A33" s="19"/>
      <c r="B33" s="19" t="s">
        <v>192</v>
      </c>
      <c r="C33" s="19"/>
      <c r="D33" s="19"/>
      <c r="E33" s="19"/>
      <c r="F33" s="19"/>
      <c r="G33" s="18"/>
    </row>
    <row r="34" spans="1:7" ht="41.25" customHeight="1" thickTop="1" thickBot="1" x14ac:dyDescent="0.3">
      <c r="A34" s="19"/>
      <c r="B34" s="14" t="s">
        <v>168</v>
      </c>
      <c r="C34" s="7" t="s">
        <v>193</v>
      </c>
      <c r="D34" s="172" t="s">
        <v>163</v>
      </c>
      <c r="E34" s="173"/>
      <c r="F34" s="174"/>
      <c r="G34" s="18"/>
    </row>
    <row r="35" spans="1:7" ht="6.75" customHeight="1" thickTop="1" x14ac:dyDescent="0.25">
      <c r="A35" s="18"/>
      <c r="B35" s="20"/>
      <c r="C35" s="18"/>
      <c r="D35" s="18"/>
      <c r="E35" s="18"/>
      <c r="F35" s="18"/>
      <c r="G35" s="18"/>
    </row>
    <row r="36" spans="1:7" ht="8.4499999999999993" customHeight="1" x14ac:dyDescent="0.25">
      <c r="G36" s="4"/>
    </row>
    <row r="37" spans="1:7" ht="17.25" customHeight="1" thickBot="1" x14ac:dyDescent="0.3">
      <c r="A37" s="19"/>
      <c r="B37" s="19" t="s">
        <v>194</v>
      </c>
      <c r="C37" s="19"/>
      <c r="D37" s="19"/>
      <c r="E37" s="19"/>
      <c r="F37" s="19"/>
      <c r="G37" s="18"/>
    </row>
    <row r="38" spans="1:7" ht="41.25" customHeight="1" thickTop="1" thickBot="1" x14ac:dyDescent="0.3">
      <c r="A38" s="19"/>
      <c r="B38" s="14" t="s">
        <v>169</v>
      </c>
      <c r="C38" s="7" t="s">
        <v>196</v>
      </c>
      <c r="D38" s="172" t="s">
        <v>164</v>
      </c>
      <c r="E38" s="173"/>
      <c r="F38" s="174"/>
      <c r="G38" s="18"/>
    </row>
    <row r="39" spans="1:7" ht="6.75" customHeight="1" thickTop="1" x14ac:dyDescent="0.25">
      <c r="A39" s="18"/>
      <c r="B39" s="20"/>
      <c r="C39" s="18"/>
      <c r="D39" s="18"/>
      <c r="E39" s="18"/>
      <c r="F39" s="18"/>
      <c r="G39" s="18"/>
    </row>
    <row r="40" spans="1:7" ht="8.4499999999999993" customHeight="1" x14ac:dyDescent="0.25">
      <c r="G40" s="4"/>
    </row>
    <row r="41" spans="1:7" x14ac:dyDescent="0.25">
      <c r="A41" s="16"/>
      <c r="B41" s="17" t="s">
        <v>33</v>
      </c>
      <c r="C41" s="16"/>
      <c r="D41" s="16"/>
      <c r="E41" s="16"/>
      <c r="F41" s="16"/>
      <c r="G41" s="16"/>
    </row>
    <row r="71" hidden="1" x14ac:dyDescent="0.25"/>
    <row r="83" ht="12.75" customHeight="1" x14ac:dyDescent="0.25"/>
    <row r="84" ht="12.75" customHeight="1" x14ac:dyDescent="0.25"/>
    <row r="94" hidden="1" x14ac:dyDescent="0.25"/>
    <row r="99" spans="2:2" x14ac:dyDescent="0.25">
      <c r="B99" s="61" t="s">
        <v>170</v>
      </c>
    </row>
    <row r="100" spans="2:2" x14ac:dyDescent="0.25">
      <c r="B100" t="s">
        <v>114</v>
      </c>
    </row>
    <row r="101" spans="2:2" x14ac:dyDescent="0.25">
      <c r="B101" s="61" t="s">
        <v>115</v>
      </c>
    </row>
    <row r="102" spans="2:2" x14ac:dyDescent="0.25">
      <c r="B102" s="61" t="s">
        <v>171</v>
      </c>
    </row>
    <row r="103" spans="2:2" x14ac:dyDescent="0.25">
      <c r="B103" s="61" t="s">
        <v>172</v>
      </c>
    </row>
    <row r="104" spans="2:2" ht="17.25" customHeight="1" x14ac:dyDescent="0.25">
      <c r="B104" s="61" t="s">
        <v>160</v>
      </c>
    </row>
  </sheetData>
  <mergeCells count="6">
    <mergeCell ref="D38:F38"/>
    <mergeCell ref="D30:F30"/>
    <mergeCell ref="D34:F34"/>
    <mergeCell ref="B4:B5"/>
    <mergeCell ref="C4:C5"/>
    <mergeCell ref="D4:F4"/>
  </mergeCells>
  <conditionalFormatting sqref="A7:G7 A8:A15 G8:G15 A16:G16">
    <cfRule type="expression" dxfId="15" priority="17">
      <formula>$J$7&lt;&gt;1</formula>
    </cfRule>
  </conditionalFormatting>
  <conditionalFormatting sqref="A18:G18 A19:A26 G19:G26 A27:G27">
    <cfRule type="expression" dxfId="14" priority="15">
      <formula>$J$18&lt;&gt;1</formula>
    </cfRule>
  </conditionalFormatting>
  <pageMargins left="0.59055118110236227" right="0.39370078740157483" top="0.23622047244094491" bottom="0.23622047244094491" header="0.31496062992125984" footer="0.31496062992125984"/>
  <pageSetup paperSize="9" scale="3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3794" r:id="rId4" name="Check Box 2">
              <controlPr defaultSize="0" autoFill="0" autoLine="0" autoPict="0">
                <anchor moveWithCells="1">
                  <from>
                    <xdr:col>5</xdr:col>
                    <xdr:colOff>47625</xdr:colOff>
                    <xdr:row>5</xdr:row>
                    <xdr:rowOff>66675</xdr:rowOff>
                  </from>
                  <to>
                    <xdr:col>5</xdr:col>
                    <xdr:colOff>371475</xdr:colOff>
                    <xdr:row>7</xdr:row>
                    <xdr:rowOff>19050</xdr:rowOff>
                  </to>
                </anchor>
              </controlPr>
            </control>
          </mc:Choice>
        </mc:AlternateContent>
        <mc:AlternateContent xmlns:mc="http://schemas.openxmlformats.org/markup-compatibility/2006">
          <mc:Choice Requires="x14">
            <control shapeId="33807" r:id="rId5" name="Check Box 15">
              <controlPr defaultSize="0" autoFill="0" autoLine="0" autoPict="0">
                <anchor moveWithCells="1">
                  <from>
                    <xdr:col>2</xdr:col>
                    <xdr:colOff>3914775</xdr:colOff>
                    <xdr:row>5</xdr:row>
                    <xdr:rowOff>57150</xdr:rowOff>
                  </from>
                  <to>
                    <xdr:col>3</xdr:col>
                    <xdr:colOff>0</xdr:colOff>
                    <xdr:row>7</xdr:row>
                    <xdr:rowOff>28575</xdr:rowOff>
                  </to>
                </anchor>
              </controlPr>
            </control>
          </mc:Choice>
        </mc:AlternateContent>
        <mc:AlternateContent xmlns:mc="http://schemas.openxmlformats.org/markup-compatibility/2006">
          <mc:Choice Requires="x14">
            <control shapeId="33809" r:id="rId6" name="Check Box 17">
              <controlPr defaultSize="0" autoFill="0" autoLine="0" autoPict="0">
                <anchor moveWithCells="1">
                  <from>
                    <xdr:col>5</xdr:col>
                    <xdr:colOff>0</xdr:colOff>
                    <xdr:row>16</xdr:row>
                    <xdr:rowOff>161925</xdr:rowOff>
                  </from>
                  <to>
                    <xdr:col>5</xdr:col>
                    <xdr:colOff>257175</xdr:colOff>
                    <xdr:row>18</xdr:row>
                    <xdr:rowOff>9525</xdr:rowOff>
                  </to>
                </anchor>
              </controlPr>
            </control>
          </mc:Choice>
        </mc:AlternateContent>
        <mc:AlternateContent xmlns:mc="http://schemas.openxmlformats.org/markup-compatibility/2006">
          <mc:Choice Requires="x14">
            <control shapeId="33810" r:id="rId7" name="Check Box 18">
              <controlPr defaultSize="0" autoFill="0" autoLine="0" autoPict="0">
                <anchor moveWithCells="1">
                  <from>
                    <xdr:col>1</xdr:col>
                    <xdr:colOff>0</xdr:colOff>
                    <xdr:row>8</xdr:row>
                    <xdr:rowOff>57150</xdr:rowOff>
                  </from>
                  <to>
                    <xdr:col>1</xdr:col>
                    <xdr:colOff>190500</xdr:colOff>
                    <xdr:row>8</xdr:row>
                    <xdr:rowOff>438150</xdr:rowOff>
                  </to>
                </anchor>
              </controlPr>
            </control>
          </mc:Choice>
        </mc:AlternateContent>
        <mc:AlternateContent xmlns:mc="http://schemas.openxmlformats.org/markup-compatibility/2006">
          <mc:Choice Requires="x14">
            <control shapeId="33811" r:id="rId8" name="Check Box 19">
              <controlPr defaultSize="0" autoFill="0" autoLine="0" autoPict="0">
                <anchor moveWithCells="1">
                  <from>
                    <xdr:col>0</xdr:col>
                    <xdr:colOff>76200</xdr:colOff>
                    <xdr:row>9</xdr:row>
                    <xdr:rowOff>57150</xdr:rowOff>
                  </from>
                  <to>
                    <xdr:col>1</xdr:col>
                    <xdr:colOff>190500</xdr:colOff>
                    <xdr:row>9</xdr:row>
                    <xdr:rowOff>438150</xdr:rowOff>
                  </to>
                </anchor>
              </controlPr>
            </control>
          </mc:Choice>
        </mc:AlternateContent>
        <mc:AlternateContent xmlns:mc="http://schemas.openxmlformats.org/markup-compatibility/2006">
          <mc:Choice Requires="x14">
            <control shapeId="33812" r:id="rId9" name="Check Box 20">
              <controlPr defaultSize="0" autoFill="0" autoLine="0" autoPict="0">
                <anchor moveWithCells="1">
                  <from>
                    <xdr:col>1</xdr:col>
                    <xdr:colOff>0</xdr:colOff>
                    <xdr:row>12</xdr:row>
                    <xdr:rowOff>57150</xdr:rowOff>
                  </from>
                  <to>
                    <xdr:col>1</xdr:col>
                    <xdr:colOff>200025</xdr:colOff>
                    <xdr:row>12</xdr:row>
                    <xdr:rowOff>619125</xdr:rowOff>
                  </to>
                </anchor>
              </controlPr>
            </control>
          </mc:Choice>
        </mc:AlternateContent>
        <mc:AlternateContent xmlns:mc="http://schemas.openxmlformats.org/markup-compatibility/2006">
          <mc:Choice Requires="x14">
            <control shapeId="33813" r:id="rId10" name="Check Box 21">
              <controlPr defaultSize="0" autoFill="0" autoLine="0" autoPict="0">
                <anchor moveWithCells="1">
                  <from>
                    <xdr:col>1</xdr:col>
                    <xdr:colOff>9525</xdr:colOff>
                    <xdr:row>19</xdr:row>
                    <xdr:rowOff>66675</xdr:rowOff>
                  </from>
                  <to>
                    <xdr:col>1</xdr:col>
                    <xdr:colOff>257175</xdr:colOff>
                    <xdr:row>19</xdr:row>
                    <xdr:rowOff>447675</xdr:rowOff>
                  </to>
                </anchor>
              </controlPr>
            </control>
          </mc:Choice>
        </mc:AlternateContent>
        <mc:AlternateContent xmlns:mc="http://schemas.openxmlformats.org/markup-compatibility/2006">
          <mc:Choice Requires="x14">
            <control shapeId="33815" r:id="rId11" name="Check Box 23">
              <controlPr defaultSize="0" autoFill="0" autoLine="0" autoPict="0">
                <anchor moveWithCells="1">
                  <from>
                    <xdr:col>1</xdr:col>
                    <xdr:colOff>0</xdr:colOff>
                    <xdr:row>23</xdr:row>
                    <xdr:rowOff>104775</xdr:rowOff>
                  </from>
                  <to>
                    <xdr:col>1</xdr:col>
                    <xdr:colOff>200025</xdr:colOff>
                    <xdr:row>23</xdr:row>
                    <xdr:rowOff>409575</xdr:rowOff>
                  </to>
                </anchor>
              </controlPr>
            </control>
          </mc:Choice>
        </mc:AlternateContent>
        <mc:AlternateContent xmlns:mc="http://schemas.openxmlformats.org/markup-compatibility/2006">
          <mc:Choice Requires="x14">
            <control shapeId="33822" r:id="rId12" name="Check Box 30">
              <controlPr defaultSize="0" autoFill="0" autoLine="0" autoPict="0">
                <anchor moveWithCells="1">
                  <from>
                    <xdr:col>1</xdr:col>
                    <xdr:colOff>9525</xdr:colOff>
                    <xdr:row>20</xdr:row>
                    <xdr:rowOff>47625</xdr:rowOff>
                  </from>
                  <to>
                    <xdr:col>1</xdr:col>
                    <xdr:colOff>209550</xdr:colOff>
                    <xdr:row>20</xdr:row>
                    <xdr:rowOff>428625</xdr:rowOff>
                  </to>
                </anchor>
              </controlPr>
            </control>
          </mc:Choice>
        </mc:AlternateContent>
        <mc:AlternateContent xmlns:mc="http://schemas.openxmlformats.org/markup-compatibility/2006">
          <mc:Choice Requires="x14">
            <control shapeId="33831" r:id="rId13" name="Check Box 39">
              <controlPr defaultSize="0" autoFill="0" autoLine="0" autoPict="0">
                <anchor moveWithCells="1">
                  <from>
                    <xdr:col>2</xdr:col>
                    <xdr:colOff>3905250</xdr:colOff>
                    <xdr:row>16</xdr:row>
                    <xdr:rowOff>161925</xdr:rowOff>
                  </from>
                  <to>
                    <xdr:col>2</xdr:col>
                    <xdr:colOff>4124325</xdr:colOff>
                    <xdr:row>18</xdr:row>
                    <xdr:rowOff>19050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14</vt:i4>
      </vt:variant>
      <vt:variant>
        <vt:lpstr>Именованные диапазоны</vt:lpstr>
      </vt:variant>
      <vt:variant>
        <vt:i4>13</vt:i4>
      </vt:variant>
    </vt:vector>
  </HeadingPairs>
  <TitlesOfParts>
    <vt:vector size="27" baseType="lpstr">
      <vt:lpstr>Линейка Dallas Lock</vt:lpstr>
      <vt:lpstr>СЗИ ВИ Dallas Lock</vt:lpstr>
      <vt:lpstr>СДЗ Dallas Lock</vt:lpstr>
      <vt:lpstr>Dallas Lock Linux</vt:lpstr>
      <vt:lpstr>Пакетное предложение для ОС</vt:lpstr>
      <vt:lpstr>Dallas Lock 8.0-К</vt:lpstr>
      <vt:lpstr>Dallas Lock 8.0-С</vt:lpstr>
      <vt:lpstr>ЕЦУ Dallas Lock</vt:lpstr>
      <vt:lpstr>WAF Dallas Lock</vt:lpstr>
      <vt:lpstr>NAC Dallas Lock</vt:lpstr>
      <vt:lpstr>Архивные продукты</vt:lpstr>
      <vt:lpstr>Сервер Лицензий Dallas Lock</vt:lpstr>
      <vt:lpstr>Услуги по установке...</vt:lpstr>
      <vt:lpstr>Описание продуктов</vt:lpstr>
      <vt:lpstr>'Dallas Lock 8.0-К'!Область_печати</vt:lpstr>
      <vt:lpstr>'Dallas Lock 8.0-С'!Область_печати</vt:lpstr>
      <vt:lpstr>'Dallas Lock Linux'!Область_печати</vt:lpstr>
      <vt:lpstr>'NAC Dallas Lock'!Область_печати</vt:lpstr>
      <vt:lpstr>'WAF Dallas Lock'!Область_печати</vt:lpstr>
      <vt:lpstr>'Архивные продукты'!Область_печати</vt:lpstr>
      <vt:lpstr>'ЕЦУ Dallas Lock'!Область_печати</vt:lpstr>
      <vt:lpstr>'Линейка Dallas Lock'!Область_печати</vt:lpstr>
      <vt:lpstr>'Описание продуктов'!Область_печати</vt:lpstr>
      <vt:lpstr>'Пакетное предложение для ОС'!Область_печати</vt:lpstr>
      <vt:lpstr>'СДЗ Dallas Lock'!Область_печати</vt:lpstr>
      <vt:lpstr>'СЗИ ВИ Dallas Lock'!Область_печати</vt:lpstr>
      <vt:lpstr>'Услуги по установке...'!Область_печати</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2019-07-04T07:31:49Z</dcterms:created>
  <dcterms:modified xsi:type="dcterms:W3CDTF">2026-08-21T15:19:59Z</dcterms:modified>
</cp:coreProperties>
</file>